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/>
  <mc:AlternateContent xmlns:mc="http://schemas.openxmlformats.org/markup-compatibility/2006">
    <mc:Choice Requires="x15">
      <x15ac:absPath xmlns:x15ac="http://schemas.microsoft.com/office/spreadsheetml/2010/11/ac" url="C:\Users\micha\OneDrive\Pulpit\blog\Wpisy\8_Ile powinieneś mieć\"/>
    </mc:Choice>
  </mc:AlternateContent>
  <xr:revisionPtr revIDLastSave="0" documentId="13_ncr:1_{929FA5F7-8A30-4223-8603-DF25D2EEB923}" xr6:coauthVersionLast="47" xr6:coauthVersionMax="47" xr10:uidLastSave="{00000000-0000-0000-0000-000000000000}"/>
  <workbookProtection workbookAlgorithmName="SHA-512" workbookHashValue="4rmYZMOB9Z487YCgDe/oD98oNp/zG0XFeRuvKPdCFGaVQ+Y/j0de03nH3j/qZftSLuqpFKkH2q4UqzSTb/1+sw==" workbookSaltValue="rOXY/x4NkOb/a9oa+9RSew==" workbookSpinCount="100000" lockStructure="1"/>
  <bookViews>
    <workbookView xWindow="-108" yWindow="-108" windowWidth="23256" windowHeight="12576" xr2:uid="{00000000-000D-0000-FFFF-FFFF00000000}"/>
  </bookViews>
  <sheets>
    <sheet name="Ile powinieneś mieć" sheetId="3" r:id="rId1"/>
    <sheet name="Podstawowe założenia" sheetId="4" r:id="rId2"/>
    <sheet name="obliczenia" sheetId="2" state="hidden" r:id="rId3"/>
    <sheet name="założenia" sheetId="1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" i="1" l="1"/>
  <c r="K9" i="1"/>
  <c r="K10" i="1"/>
  <c r="S27" i="1"/>
  <c r="S28" i="1"/>
  <c r="S29" i="1" s="1"/>
  <c r="S30" i="1" s="1"/>
  <c r="S31" i="1" s="1"/>
  <c r="S32" i="1" s="1"/>
  <c r="S33" i="1" s="1"/>
  <c r="S34" i="1" s="1"/>
  <c r="S26" i="1"/>
  <c r="U20" i="1"/>
  <c r="U19" i="1"/>
  <c r="U18" i="1"/>
  <c r="U17" i="1"/>
  <c r="T20" i="1"/>
  <c r="T19" i="1"/>
  <c r="T18" i="1"/>
  <c r="T17" i="1"/>
  <c r="C4" i="2"/>
  <c r="C3" i="2"/>
  <c r="E10" i="3" l="1"/>
  <c r="K11" i="1"/>
  <c r="C8" i="2"/>
  <c r="D8" i="2" s="1"/>
  <c r="C9" i="2"/>
  <c r="D9" i="2" s="1"/>
  <c r="C10" i="2"/>
  <c r="D10" i="2" s="1"/>
  <c r="C11" i="2"/>
  <c r="D11" i="2" s="1"/>
  <c r="C12" i="2"/>
  <c r="D12" i="2" s="1"/>
  <c r="C13" i="2"/>
  <c r="D13" i="2" s="1"/>
  <c r="C14" i="2"/>
  <c r="D14" i="2" s="1"/>
  <c r="C15" i="2"/>
  <c r="D15" i="2" s="1"/>
  <c r="C16" i="2"/>
  <c r="D16" i="2" s="1"/>
  <c r="C17" i="2"/>
  <c r="D17" i="2" s="1"/>
  <c r="C18" i="2"/>
  <c r="D18" i="2" s="1"/>
  <c r="C19" i="2"/>
  <c r="D19" i="2" s="1"/>
  <c r="C20" i="2"/>
  <c r="D20" i="2" s="1"/>
  <c r="C21" i="2"/>
  <c r="D21" i="2" s="1"/>
  <c r="C22" i="2"/>
  <c r="D22" i="2" s="1"/>
  <c r="C23" i="2"/>
  <c r="D23" i="2" s="1"/>
  <c r="C24" i="2"/>
  <c r="D24" i="2" s="1"/>
  <c r="C25" i="2"/>
  <c r="D25" i="2" s="1"/>
  <c r="C26" i="2"/>
  <c r="D26" i="2" s="1"/>
  <c r="C27" i="2"/>
  <c r="D27" i="2" s="1"/>
  <c r="C28" i="2"/>
  <c r="D28" i="2" s="1"/>
  <c r="C29" i="2"/>
  <c r="D29" i="2" s="1"/>
  <c r="C30" i="2"/>
  <c r="D30" i="2" s="1"/>
  <c r="C31" i="2"/>
  <c r="D31" i="2" s="1"/>
  <c r="C32" i="2"/>
  <c r="D32" i="2" s="1"/>
  <c r="C33" i="2"/>
  <c r="D33" i="2" s="1"/>
  <c r="C34" i="2"/>
  <c r="D34" i="2" s="1"/>
  <c r="C35" i="2"/>
  <c r="D35" i="2" s="1"/>
  <c r="C36" i="2"/>
  <c r="D36" i="2" s="1"/>
  <c r="C37" i="2"/>
  <c r="D37" i="2" s="1"/>
  <c r="C38" i="2"/>
  <c r="D38" i="2" s="1"/>
  <c r="C39" i="2"/>
  <c r="D39" i="2" s="1"/>
  <c r="C40" i="2"/>
  <c r="D40" i="2" s="1"/>
  <c r="C41" i="2"/>
  <c r="D41" i="2" s="1"/>
  <c r="C42" i="2"/>
  <c r="D42" i="2" s="1"/>
  <c r="C43" i="2"/>
  <c r="D43" i="2" s="1"/>
  <c r="C44" i="2"/>
  <c r="D44" i="2" s="1"/>
  <c r="C45" i="2"/>
  <c r="D45" i="2" s="1"/>
  <c r="C46" i="2"/>
  <c r="D46" i="2" s="1"/>
  <c r="C47" i="2"/>
  <c r="D47" i="2" s="1"/>
  <c r="C48" i="2"/>
  <c r="D48" i="2" s="1"/>
  <c r="C49" i="2"/>
  <c r="D49" i="2" s="1"/>
  <c r="C50" i="2"/>
  <c r="E11" i="3" s="1"/>
  <c r="C7" i="2"/>
  <c r="D7" i="2" s="1"/>
  <c r="M3" i="1"/>
  <c r="N3" i="1"/>
  <c r="O3" i="1"/>
  <c r="P3" i="1"/>
  <c r="L3" i="1"/>
  <c r="M2" i="1"/>
  <c r="N2" i="1"/>
  <c r="O2" i="1"/>
  <c r="P2" i="1"/>
  <c r="L2" i="1"/>
  <c r="J12" i="1"/>
  <c r="J31" i="1"/>
  <c r="I12" i="1"/>
  <c r="I13" i="1" s="1"/>
  <c r="I44" i="1"/>
  <c r="I45" i="1" s="1"/>
  <c r="I38" i="1"/>
  <c r="J38" i="1" s="1"/>
  <c r="I31" i="1"/>
  <c r="I21" i="1"/>
  <c r="I22" i="1" s="1"/>
  <c r="I11" i="1"/>
  <c r="J11" i="1" s="1"/>
  <c r="I5" i="1"/>
  <c r="I6" i="1" s="1"/>
  <c r="E7" i="2" l="1"/>
  <c r="H7" i="2"/>
  <c r="M7" i="2" s="1"/>
  <c r="F7" i="2"/>
  <c r="K7" i="2" s="1"/>
  <c r="G7" i="2"/>
  <c r="L7" i="2" s="1"/>
  <c r="H12" i="2"/>
  <c r="H24" i="2"/>
  <c r="H36" i="2"/>
  <c r="H48" i="2"/>
  <c r="H17" i="2"/>
  <c r="H29" i="2"/>
  <c r="H41" i="2"/>
  <c r="H10" i="2"/>
  <c r="H22" i="2"/>
  <c r="H34" i="2"/>
  <c r="H46" i="2"/>
  <c r="H43" i="2"/>
  <c r="H15" i="2"/>
  <c r="H27" i="2"/>
  <c r="H39" i="2"/>
  <c r="H45" i="2"/>
  <c r="H8" i="2"/>
  <c r="H20" i="2"/>
  <c r="H32" i="2"/>
  <c r="H44" i="2"/>
  <c r="H13" i="2"/>
  <c r="H25" i="2"/>
  <c r="H37" i="2"/>
  <c r="H49" i="2"/>
  <c r="H18" i="2"/>
  <c r="H30" i="2"/>
  <c r="H42" i="2"/>
  <c r="H11" i="2"/>
  <c r="H23" i="2"/>
  <c r="H35" i="2"/>
  <c r="H47" i="2"/>
  <c r="H38" i="2"/>
  <c r="H19" i="2"/>
  <c r="H16" i="2"/>
  <c r="H28" i="2"/>
  <c r="H40" i="2"/>
  <c r="H31" i="2"/>
  <c r="H9" i="2"/>
  <c r="H21" i="2"/>
  <c r="H33" i="2"/>
  <c r="H14" i="2"/>
  <c r="H26" i="2"/>
  <c r="H50" i="2"/>
  <c r="G17" i="2"/>
  <c r="G29" i="2"/>
  <c r="G41" i="2"/>
  <c r="G10" i="2"/>
  <c r="G22" i="2"/>
  <c r="G34" i="2"/>
  <c r="G46" i="2"/>
  <c r="G12" i="2"/>
  <c r="G15" i="2"/>
  <c r="G27" i="2"/>
  <c r="G39" i="2"/>
  <c r="G50" i="2"/>
  <c r="G8" i="2"/>
  <c r="G20" i="2"/>
  <c r="G32" i="2"/>
  <c r="G44" i="2"/>
  <c r="G13" i="2"/>
  <c r="G25" i="2"/>
  <c r="G37" i="2"/>
  <c r="G49" i="2"/>
  <c r="G18" i="2"/>
  <c r="G30" i="2"/>
  <c r="G42" i="2"/>
  <c r="G43" i="2"/>
  <c r="G11" i="2"/>
  <c r="G23" i="2"/>
  <c r="G35" i="2"/>
  <c r="G47" i="2"/>
  <c r="G24" i="2"/>
  <c r="G16" i="2"/>
  <c r="G28" i="2"/>
  <c r="G40" i="2"/>
  <c r="G9" i="2"/>
  <c r="G21" i="2"/>
  <c r="G33" i="2"/>
  <c r="G45" i="2"/>
  <c r="G48" i="2"/>
  <c r="G14" i="2"/>
  <c r="G26" i="2"/>
  <c r="G38" i="2"/>
  <c r="G36" i="2"/>
  <c r="G19" i="2"/>
  <c r="G31" i="2"/>
  <c r="F10" i="2"/>
  <c r="F22" i="2"/>
  <c r="F34" i="2"/>
  <c r="F46" i="2"/>
  <c r="F15" i="2"/>
  <c r="F27" i="2"/>
  <c r="F39" i="2"/>
  <c r="F43" i="2"/>
  <c r="F8" i="2"/>
  <c r="F20" i="2"/>
  <c r="F32" i="2"/>
  <c r="F44" i="2"/>
  <c r="F48" i="2"/>
  <c r="F13" i="2"/>
  <c r="F25" i="2"/>
  <c r="F37" i="2"/>
  <c r="F49" i="2"/>
  <c r="F17" i="2"/>
  <c r="F41" i="2"/>
  <c r="F18" i="2"/>
  <c r="F30" i="2"/>
  <c r="F42" i="2"/>
  <c r="F11" i="2"/>
  <c r="F23" i="2"/>
  <c r="F35" i="2"/>
  <c r="F47" i="2"/>
  <c r="F16" i="2"/>
  <c r="F28" i="2"/>
  <c r="F40" i="2"/>
  <c r="F9" i="2"/>
  <c r="F21" i="2"/>
  <c r="F33" i="2"/>
  <c r="F45" i="2"/>
  <c r="F50" i="2"/>
  <c r="F14" i="2"/>
  <c r="F26" i="2"/>
  <c r="F38" i="2"/>
  <c r="F19" i="2"/>
  <c r="F31" i="2"/>
  <c r="F12" i="2"/>
  <c r="F24" i="2"/>
  <c r="F36" i="2"/>
  <c r="F29" i="2"/>
  <c r="E15" i="2"/>
  <c r="E27" i="2"/>
  <c r="E39" i="2"/>
  <c r="E8" i="2"/>
  <c r="E20" i="2"/>
  <c r="E32" i="2"/>
  <c r="E44" i="2"/>
  <c r="E13" i="2"/>
  <c r="E25" i="2"/>
  <c r="E37" i="2"/>
  <c r="E49" i="2"/>
  <c r="E18" i="2"/>
  <c r="E30" i="2"/>
  <c r="E42" i="2"/>
  <c r="E11" i="2"/>
  <c r="E23" i="2"/>
  <c r="E35" i="2"/>
  <c r="E47" i="2"/>
  <c r="E16" i="2"/>
  <c r="E28" i="2"/>
  <c r="E40" i="2"/>
  <c r="E9" i="2"/>
  <c r="E21" i="2"/>
  <c r="E33" i="2"/>
  <c r="E45" i="2"/>
  <c r="E41" i="2"/>
  <c r="E14" i="2"/>
  <c r="E26" i="2"/>
  <c r="E38" i="2"/>
  <c r="E50" i="2"/>
  <c r="E34" i="2"/>
  <c r="E19" i="2"/>
  <c r="E31" i="2"/>
  <c r="E43" i="2"/>
  <c r="E22" i="2"/>
  <c r="E12" i="2"/>
  <c r="E24" i="2"/>
  <c r="E36" i="2"/>
  <c r="E48" i="2"/>
  <c r="E10" i="2"/>
  <c r="E17" i="2"/>
  <c r="E29" i="2"/>
  <c r="E46" i="2"/>
  <c r="D50" i="2"/>
  <c r="K12" i="1"/>
  <c r="J7" i="2"/>
  <c r="F17" i="3" s="1"/>
  <c r="M4" i="1"/>
  <c r="L4" i="1"/>
  <c r="P4" i="1"/>
  <c r="N4" i="1"/>
  <c r="O4" i="1"/>
  <c r="I46" i="1"/>
  <c r="J46" i="1" s="1"/>
  <c r="J45" i="1"/>
  <c r="I7" i="1"/>
  <c r="J6" i="1"/>
  <c r="I23" i="1"/>
  <c r="J22" i="1"/>
  <c r="I14" i="1"/>
  <c r="J13" i="1"/>
  <c r="J21" i="1"/>
  <c r="J44" i="1"/>
  <c r="J5" i="1"/>
  <c r="I4" i="1"/>
  <c r="I32" i="1"/>
  <c r="I39" i="1"/>
  <c r="K13" i="1" l="1"/>
  <c r="I7" i="2"/>
  <c r="G17" i="3"/>
  <c r="K8" i="2"/>
  <c r="G18" i="3" s="1"/>
  <c r="I17" i="3"/>
  <c r="M8" i="2"/>
  <c r="H17" i="3"/>
  <c r="L8" i="2"/>
  <c r="H18" i="3" s="1"/>
  <c r="J8" i="2"/>
  <c r="O6" i="1"/>
  <c r="M5" i="1"/>
  <c r="M6" i="1"/>
  <c r="O5" i="1"/>
  <c r="P5" i="1"/>
  <c r="N5" i="1"/>
  <c r="L5" i="1"/>
  <c r="I33" i="1"/>
  <c r="J32" i="1"/>
  <c r="J4" i="1"/>
  <c r="I3" i="1"/>
  <c r="J3" i="1" s="1"/>
  <c r="J23" i="1"/>
  <c r="I24" i="1"/>
  <c r="I40" i="1"/>
  <c r="J39" i="1"/>
  <c r="I15" i="1"/>
  <c r="J14" i="1"/>
  <c r="I8" i="1"/>
  <c r="J7" i="1"/>
  <c r="K14" i="1" l="1"/>
  <c r="J9" i="2"/>
  <c r="F19" i="3" s="1"/>
  <c r="I8" i="2"/>
  <c r="I9" i="2" s="1"/>
  <c r="E19" i="3" s="1"/>
  <c r="E17" i="3"/>
  <c r="L9" i="2"/>
  <c r="H19" i="3" s="1"/>
  <c r="M9" i="2"/>
  <c r="I19" i="3" s="1"/>
  <c r="F18" i="3"/>
  <c r="K9" i="2"/>
  <c r="I18" i="3"/>
  <c r="N6" i="1"/>
  <c r="P6" i="1"/>
  <c r="L6" i="1"/>
  <c r="J40" i="1"/>
  <c r="I41" i="1"/>
  <c r="I16" i="1"/>
  <c r="J15" i="1"/>
  <c r="I25" i="1"/>
  <c r="J24" i="1"/>
  <c r="I34" i="1"/>
  <c r="J33" i="1"/>
  <c r="I9" i="1"/>
  <c r="J8" i="1"/>
  <c r="K15" i="1" l="1"/>
  <c r="K10" i="2"/>
  <c r="G20" i="3" s="1"/>
  <c r="E18" i="3"/>
  <c r="I10" i="2"/>
  <c r="E20" i="3" s="1"/>
  <c r="M10" i="2"/>
  <c r="I20" i="3" s="1"/>
  <c r="L10" i="2"/>
  <c r="H20" i="3" s="1"/>
  <c r="G19" i="3"/>
  <c r="J10" i="2"/>
  <c r="L7" i="1"/>
  <c r="P7" i="1"/>
  <c r="M7" i="1"/>
  <c r="N7" i="1"/>
  <c r="O7" i="1"/>
  <c r="I26" i="1"/>
  <c r="J25" i="1"/>
  <c r="I35" i="1"/>
  <c r="J34" i="1"/>
  <c r="I10" i="1"/>
  <c r="J10" i="1" s="1"/>
  <c r="J9" i="1"/>
  <c r="I17" i="1"/>
  <c r="J16" i="1"/>
  <c r="I42" i="1"/>
  <c r="J41" i="1"/>
  <c r="K16" i="1" l="1"/>
  <c r="K11" i="2"/>
  <c r="G21" i="3" s="1"/>
  <c r="I11" i="2"/>
  <c r="E21" i="3" s="1"/>
  <c r="J11" i="2"/>
  <c r="F21" i="3" s="1"/>
  <c r="L11" i="2"/>
  <c r="H21" i="3" s="1"/>
  <c r="M11" i="2"/>
  <c r="I21" i="3" s="1"/>
  <c r="F20" i="3"/>
  <c r="P8" i="1"/>
  <c r="L8" i="1"/>
  <c r="N8" i="1"/>
  <c r="M8" i="1"/>
  <c r="O8" i="1"/>
  <c r="I43" i="1"/>
  <c r="J43" i="1" s="1"/>
  <c r="J42" i="1"/>
  <c r="I18" i="1"/>
  <c r="J17" i="1"/>
  <c r="I36" i="1"/>
  <c r="J35" i="1"/>
  <c r="I27" i="1"/>
  <c r="J26" i="1"/>
  <c r="K17" i="1" l="1"/>
  <c r="K12" i="2"/>
  <c r="G22" i="3" s="1"/>
  <c r="I12" i="2"/>
  <c r="E22" i="3" s="1"/>
  <c r="J12" i="2"/>
  <c r="F22" i="3" s="1"/>
  <c r="L12" i="2"/>
  <c r="H22" i="3" s="1"/>
  <c r="M12" i="2"/>
  <c r="I22" i="3" s="1"/>
  <c r="L9" i="1"/>
  <c r="N9" i="1"/>
  <c r="P9" i="1"/>
  <c r="O9" i="1"/>
  <c r="M9" i="1"/>
  <c r="I37" i="1"/>
  <c r="J37" i="1" s="1"/>
  <c r="J36" i="1"/>
  <c r="I28" i="1"/>
  <c r="J27" i="1"/>
  <c r="I19" i="1"/>
  <c r="J18" i="1"/>
  <c r="K18" i="1" l="1"/>
  <c r="J13" i="2"/>
  <c r="F23" i="3" s="1"/>
  <c r="K13" i="2"/>
  <c r="G23" i="3" s="1"/>
  <c r="I13" i="2"/>
  <c r="E23" i="3" s="1"/>
  <c r="L13" i="2"/>
  <c r="H23" i="3" s="1"/>
  <c r="M13" i="2"/>
  <c r="L10" i="1"/>
  <c r="M10" i="1"/>
  <c r="N10" i="1"/>
  <c r="O10" i="1"/>
  <c r="P10" i="1"/>
  <c r="I20" i="1"/>
  <c r="J20" i="1" s="1"/>
  <c r="J19" i="1"/>
  <c r="I29" i="1"/>
  <c r="J28" i="1"/>
  <c r="K19" i="1" l="1"/>
  <c r="L14" i="2"/>
  <c r="H24" i="3" s="1"/>
  <c r="K14" i="2"/>
  <c r="G24" i="3" s="1"/>
  <c r="I14" i="2"/>
  <c r="E24" i="3" s="1"/>
  <c r="M14" i="2"/>
  <c r="I24" i="3" s="1"/>
  <c r="I23" i="3"/>
  <c r="J14" i="2"/>
  <c r="M11" i="1"/>
  <c r="O11" i="1"/>
  <c r="P11" i="1"/>
  <c r="L11" i="1"/>
  <c r="N11" i="1"/>
  <c r="I30" i="1"/>
  <c r="J30" i="1" s="1"/>
  <c r="J29" i="1"/>
  <c r="K20" i="1" l="1"/>
  <c r="L15" i="2"/>
  <c r="H25" i="3" s="1"/>
  <c r="K15" i="2"/>
  <c r="G25" i="3" s="1"/>
  <c r="I15" i="2"/>
  <c r="E25" i="3" s="1"/>
  <c r="J15" i="2"/>
  <c r="F25" i="3" s="1"/>
  <c r="F24" i="3"/>
  <c r="M15" i="2"/>
  <c r="L12" i="1"/>
  <c r="O12" i="1"/>
  <c r="P12" i="1"/>
  <c r="N12" i="1"/>
  <c r="M12" i="1"/>
  <c r="K21" i="1" l="1"/>
  <c r="L16" i="2"/>
  <c r="H26" i="3" s="1"/>
  <c r="I16" i="2"/>
  <c r="E26" i="3" s="1"/>
  <c r="K16" i="2"/>
  <c r="G26" i="3" s="1"/>
  <c r="J16" i="2"/>
  <c r="F26" i="3" s="1"/>
  <c r="M16" i="2"/>
  <c r="I26" i="3" s="1"/>
  <c r="I25" i="3"/>
  <c r="O13" i="1"/>
  <c r="L13" i="1"/>
  <c r="N13" i="1"/>
  <c r="P13" i="1"/>
  <c r="M13" i="1"/>
  <c r="K22" i="1" l="1"/>
  <c r="I17" i="2"/>
  <c r="E27" i="3" s="1"/>
  <c r="K17" i="2"/>
  <c r="G27" i="3" s="1"/>
  <c r="L17" i="2"/>
  <c r="H27" i="3" s="1"/>
  <c r="M17" i="2"/>
  <c r="I27" i="3" s="1"/>
  <c r="J17" i="2"/>
  <c r="P14" i="1"/>
  <c r="M14" i="1"/>
  <c r="O14" i="1"/>
  <c r="L14" i="1"/>
  <c r="N14" i="1"/>
  <c r="K23" i="1" l="1"/>
  <c r="I18" i="2"/>
  <c r="E28" i="3" s="1"/>
  <c r="K18" i="2"/>
  <c r="G28" i="3" s="1"/>
  <c r="L18" i="2"/>
  <c r="H28" i="3" s="1"/>
  <c r="J18" i="2"/>
  <c r="F27" i="3"/>
  <c r="M18" i="2"/>
  <c r="O15" i="1"/>
  <c r="M15" i="1"/>
  <c r="N15" i="1"/>
  <c r="P15" i="1"/>
  <c r="L15" i="1"/>
  <c r="K19" i="2" l="1"/>
  <c r="G29" i="3" s="1"/>
  <c r="K24" i="1"/>
  <c r="L19" i="2"/>
  <c r="H29" i="3" s="1"/>
  <c r="I19" i="2"/>
  <c r="E29" i="3" s="1"/>
  <c r="M19" i="2"/>
  <c r="I29" i="3" s="1"/>
  <c r="I28" i="3"/>
  <c r="J19" i="2"/>
  <c r="F29" i="3" s="1"/>
  <c r="F28" i="3"/>
  <c r="M16" i="1"/>
  <c r="P16" i="1"/>
  <c r="L16" i="1"/>
  <c r="O16" i="1"/>
  <c r="N16" i="1"/>
  <c r="K20" i="2" l="1"/>
  <c r="K21" i="2" s="1"/>
  <c r="K25" i="1"/>
  <c r="I20" i="2"/>
  <c r="E30" i="3" s="1"/>
  <c r="L20" i="2"/>
  <c r="H30" i="3" s="1"/>
  <c r="M20" i="2"/>
  <c r="I30" i="3" s="1"/>
  <c r="J20" i="2"/>
  <c r="F30" i="3" s="1"/>
  <c r="O17" i="1"/>
  <c r="P17" i="1"/>
  <c r="L17" i="1"/>
  <c r="N17" i="1"/>
  <c r="M17" i="1"/>
  <c r="G30" i="3" l="1"/>
  <c r="L21" i="2"/>
  <c r="H31" i="3" s="1"/>
  <c r="K26" i="1"/>
  <c r="I21" i="2"/>
  <c r="E31" i="3" s="1"/>
  <c r="M21" i="2"/>
  <c r="I31" i="3" s="1"/>
  <c r="J21" i="2"/>
  <c r="F31" i="3" s="1"/>
  <c r="G31" i="3"/>
  <c r="K22" i="2"/>
  <c r="N18" i="1"/>
  <c r="M18" i="1"/>
  <c r="L18" i="1"/>
  <c r="O18" i="1"/>
  <c r="P18" i="1"/>
  <c r="L22" i="2" l="1"/>
  <c r="H32" i="3" s="1"/>
  <c r="K27" i="1"/>
  <c r="I22" i="2"/>
  <c r="E32" i="3" s="1"/>
  <c r="M22" i="2"/>
  <c r="I32" i="3" s="1"/>
  <c r="J22" i="2"/>
  <c r="G32" i="3"/>
  <c r="K23" i="2"/>
  <c r="P19" i="1"/>
  <c r="L19" i="1"/>
  <c r="M19" i="1"/>
  <c r="N19" i="1"/>
  <c r="O19" i="1"/>
  <c r="L23" i="2" l="1"/>
  <c r="H33" i="3" s="1"/>
  <c r="I23" i="2"/>
  <c r="E33" i="3" s="1"/>
  <c r="K28" i="1"/>
  <c r="M23" i="2"/>
  <c r="I33" i="3" s="1"/>
  <c r="J23" i="2"/>
  <c r="F33" i="3" s="1"/>
  <c r="F32" i="3"/>
  <c r="G33" i="3"/>
  <c r="K24" i="2"/>
  <c r="M20" i="1"/>
  <c r="L20" i="1"/>
  <c r="N20" i="1"/>
  <c r="O20" i="1"/>
  <c r="P20" i="1"/>
  <c r="L24" i="2" l="1"/>
  <c r="H34" i="3" s="1"/>
  <c r="I24" i="2"/>
  <c r="E34" i="3" s="1"/>
  <c r="K29" i="1"/>
  <c r="M24" i="2"/>
  <c r="I34" i="3" s="1"/>
  <c r="J24" i="2"/>
  <c r="G34" i="3"/>
  <c r="K25" i="2"/>
  <c r="N21" i="1"/>
  <c r="P21" i="1"/>
  <c r="L21" i="1"/>
  <c r="O21" i="1"/>
  <c r="M21" i="1"/>
  <c r="L25" i="2" l="1"/>
  <c r="H35" i="3" s="1"/>
  <c r="I25" i="2"/>
  <c r="E35" i="3" s="1"/>
  <c r="K30" i="1"/>
  <c r="M25" i="2"/>
  <c r="I35" i="3" s="1"/>
  <c r="J25" i="2"/>
  <c r="F35" i="3" s="1"/>
  <c r="F34" i="3"/>
  <c r="G35" i="3"/>
  <c r="K26" i="2"/>
  <c r="P22" i="1"/>
  <c r="N22" i="1"/>
  <c r="L22" i="1"/>
  <c r="O22" i="1"/>
  <c r="M22" i="1"/>
  <c r="L26" i="2" l="1"/>
  <c r="L27" i="2" s="1"/>
  <c r="I26" i="2"/>
  <c r="E36" i="3" s="1"/>
  <c r="K31" i="1"/>
  <c r="M26" i="2"/>
  <c r="J26" i="2"/>
  <c r="G36" i="3"/>
  <c r="K27" i="2"/>
  <c r="M23" i="1"/>
  <c r="O23" i="1"/>
  <c r="P23" i="1"/>
  <c r="L23" i="1"/>
  <c r="N23" i="1"/>
  <c r="H36" i="3" l="1"/>
  <c r="I27" i="2"/>
  <c r="E37" i="3" s="1"/>
  <c r="K32" i="1"/>
  <c r="J27" i="2"/>
  <c r="F37" i="3" s="1"/>
  <c r="M27" i="2"/>
  <c r="I36" i="3"/>
  <c r="F36" i="3"/>
  <c r="G37" i="3"/>
  <c r="H37" i="3"/>
  <c r="L28" i="2"/>
  <c r="K28" i="2"/>
  <c r="M24" i="1"/>
  <c r="P24" i="1"/>
  <c r="L24" i="1"/>
  <c r="N24" i="1"/>
  <c r="O24" i="1"/>
  <c r="I28" i="2" l="1"/>
  <c r="E38" i="3" s="1"/>
  <c r="K33" i="1"/>
  <c r="J28" i="2"/>
  <c r="F38" i="3" s="1"/>
  <c r="M28" i="2"/>
  <c r="I38" i="3" s="1"/>
  <c r="I37" i="3"/>
  <c r="G38" i="3"/>
  <c r="H38" i="3"/>
  <c r="K29" i="2"/>
  <c r="L29" i="2"/>
  <c r="N25" i="1"/>
  <c r="O25" i="1"/>
  <c r="M25" i="1"/>
  <c r="L25" i="1"/>
  <c r="P25" i="1"/>
  <c r="I29" i="2" l="1"/>
  <c r="E39" i="3" s="1"/>
  <c r="K34" i="1"/>
  <c r="M29" i="2"/>
  <c r="J29" i="2"/>
  <c r="F39" i="3" s="1"/>
  <c r="G39" i="3"/>
  <c r="H39" i="3"/>
  <c r="K30" i="2"/>
  <c r="L30" i="2"/>
  <c r="L26" i="1"/>
  <c r="M26" i="1"/>
  <c r="O26" i="1"/>
  <c r="N26" i="1"/>
  <c r="P26" i="1"/>
  <c r="I30" i="2" l="1"/>
  <c r="E40" i="3" s="1"/>
  <c r="K35" i="1"/>
  <c r="M30" i="2"/>
  <c r="I40" i="3" s="1"/>
  <c r="I39" i="3"/>
  <c r="J30" i="2"/>
  <c r="F40" i="3" s="1"/>
  <c r="G40" i="3"/>
  <c r="H40" i="3"/>
  <c r="L31" i="2"/>
  <c r="K31" i="2"/>
  <c r="M27" i="1"/>
  <c r="O27" i="1"/>
  <c r="N27" i="1"/>
  <c r="P27" i="1"/>
  <c r="L27" i="1"/>
  <c r="I31" i="2" l="1"/>
  <c r="E41" i="3" s="1"/>
  <c r="K36" i="1"/>
  <c r="M31" i="2"/>
  <c r="I41" i="3" s="1"/>
  <c r="J31" i="2"/>
  <c r="F41" i="3" s="1"/>
  <c r="G41" i="3"/>
  <c r="H41" i="3"/>
  <c r="L32" i="2"/>
  <c r="L28" i="1"/>
  <c r="P28" i="1"/>
  <c r="M28" i="1"/>
  <c r="O28" i="1"/>
  <c r="N28" i="1"/>
  <c r="I32" i="2" l="1"/>
  <c r="E42" i="3" s="1"/>
  <c r="K37" i="1"/>
  <c r="J32" i="2"/>
  <c r="F42" i="3" s="1"/>
  <c r="M32" i="2"/>
  <c r="K32" i="2"/>
  <c r="G42" i="3" s="1"/>
  <c r="H42" i="3"/>
  <c r="L33" i="2"/>
  <c r="N29" i="1"/>
  <c r="O29" i="1"/>
  <c r="P29" i="1"/>
  <c r="L29" i="1"/>
  <c r="M29" i="1"/>
  <c r="I33" i="2" l="1"/>
  <c r="E43" i="3" s="1"/>
  <c r="K38" i="1"/>
  <c r="M33" i="2"/>
  <c r="I43" i="3" s="1"/>
  <c r="I42" i="3"/>
  <c r="K33" i="2"/>
  <c r="J33" i="2"/>
  <c r="F43" i="3" s="1"/>
  <c r="H43" i="3"/>
  <c r="L34" i="2"/>
  <c r="L30" i="1"/>
  <c r="M30" i="1"/>
  <c r="P30" i="1"/>
  <c r="O30" i="1"/>
  <c r="N30" i="1"/>
  <c r="I34" i="2" l="1"/>
  <c r="E44" i="3" s="1"/>
  <c r="K39" i="1"/>
  <c r="M34" i="2"/>
  <c r="I44" i="3" s="1"/>
  <c r="K34" i="2"/>
  <c r="G44" i="3" s="1"/>
  <c r="G43" i="3"/>
  <c r="J34" i="2"/>
  <c r="F44" i="3" s="1"/>
  <c r="H44" i="3"/>
  <c r="L35" i="2"/>
  <c r="M31" i="1"/>
  <c r="N31" i="1"/>
  <c r="O31" i="1"/>
  <c r="P31" i="1"/>
  <c r="L31" i="1"/>
  <c r="I35" i="2" l="1"/>
  <c r="I36" i="2" s="1"/>
  <c r="K40" i="1"/>
  <c r="K35" i="2"/>
  <c r="G45" i="3" s="1"/>
  <c r="J35" i="2"/>
  <c r="M35" i="2"/>
  <c r="H45" i="3"/>
  <c r="L36" i="2"/>
  <c r="N32" i="1"/>
  <c r="L32" i="1"/>
  <c r="O32" i="1"/>
  <c r="M32" i="1"/>
  <c r="P32" i="1"/>
  <c r="E45" i="3" l="1"/>
  <c r="K41" i="1"/>
  <c r="J36" i="2"/>
  <c r="F46" i="3" s="1"/>
  <c r="M36" i="2"/>
  <c r="I46" i="3" s="1"/>
  <c r="F45" i="3"/>
  <c r="I45" i="3"/>
  <c r="K36" i="2"/>
  <c r="G46" i="3" s="1"/>
  <c r="E46" i="3"/>
  <c r="H46" i="3"/>
  <c r="L37" i="2"/>
  <c r="I37" i="2"/>
  <c r="L33" i="1"/>
  <c r="M33" i="1"/>
  <c r="O33" i="1"/>
  <c r="N33" i="1"/>
  <c r="P33" i="1"/>
  <c r="K42" i="1" l="1"/>
  <c r="M37" i="2"/>
  <c r="I47" i="3" s="1"/>
  <c r="J37" i="2"/>
  <c r="F47" i="3" s="1"/>
  <c r="K37" i="2"/>
  <c r="H47" i="3"/>
  <c r="E47" i="3"/>
  <c r="I38" i="2"/>
  <c r="L38" i="2"/>
  <c r="N34" i="1"/>
  <c r="L34" i="1"/>
  <c r="P34" i="1"/>
  <c r="O34" i="1"/>
  <c r="M34" i="1"/>
  <c r="K43" i="1" l="1"/>
  <c r="M38" i="2"/>
  <c r="I48" i="3" s="1"/>
  <c r="K38" i="2"/>
  <c r="G48" i="3" s="1"/>
  <c r="G47" i="3"/>
  <c r="J38" i="2"/>
  <c r="H48" i="3"/>
  <c r="E48" i="3"/>
  <c r="I39" i="2"/>
  <c r="L39" i="2"/>
  <c r="M35" i="1"/>
  <c r="N35" i="1"/>
  <c r="O35" i="1"/>
  <c r="P35" i="1"/>
  <c r="L35" i="1"/>
  <c r="K44" i="1" l="1"/>
  <c r="K39" i="2"/>
  <c r="G49" i="3" s="1"/>
  <c r="J39" i="2"/>
  <c r="F49" i="3" s="1"/>
  <c r="F48" i="3"/>
  <c r="M39" i="2"/>
  <c r="E49" i="3"/>
  <c r="H49" i="3"/>
  <c r="I40" i="2"/>
  <c r="L40" i="2"/>
  <c r="O36" i="1"/>
  <c r="M36" i="1"/>
  <c r="N36" i="1"/>
  <c r="L36" i="1"/>
  <c r="P36" i="1"/>
  <c r="K45" i="1" l="1"/>
  <c r="J40" i="2"/>
  <c r="F50" i="3" s="1"/>
  <c r="M40" i="2"/>
  <c r="I50" i="3" s="1"/>
  <c r="I49" i="3"/>
  <c r="K40" i="2"/>
  <c r="E50" i="3"/>
  <c r="H50" i="3"/>
  <c r="L41" i="2"/>
  <c r="I41" i="2"/>
  <c r="M37" i="1"/>
  <c r="O37" i="1"/>
  <c r="P37" i="1"/>
  <c r="N37" i="1"/>
  <c r="L37" i="1"/>
  <c r="K46" i="1" l="1"/>
  <c r="M41" i="2"/>
  <c r="I51" i="3" s="1"/>
  <c r="J41" i="2"/>
  <c r="F51" i="3" s="1"/>
  <c r="K41" i="2"/>
  <c r="G51" i="3" s="1"/>
  <c r="G50" i="3"/>
  <c r="E51" i="3"/>
  <c r="H51" i="3"/>
  <c r="L42" i="2"/>
  <c r="I42" i="2"/>
  <c r="N38" i="1"/>
  <c r="L38" i="1"/>
  <c r="O38" i="1"/>
  <c r="P38" i="1"/>
  <c r="M38" i="1"/>
  <c r="K42" i="2" l="1"/>
  <c r="G52" i="3" s="1"/>
  <c r="M42" i="2"/>
  <c r="I52" i="3" s="1"/>
  <c r="J42" i="2"/>
  <c r="F52" i="3" s="1"/>
  <c r="H52" i="3"/>
  <c r="E52" i="3"/>
  <c r="I43" i="2"/>
  <c r="L43" i="2"/>
  <c r="L39" i="1"/>
  <c r="N39" i="1"/>
  <c r="M39" i="1"/>
  <c r="O39" i="1"/>
  <c r="P39" i="1"/>
  <c r="K43" i="2" l="1"/>
  <c r="J43" i="2"/>
  <c r="F53" i="3" s="1"/>
  <c r="M43" i="2"/>
  <c r="E53" i="3"/>
  <c r="H53" i="3"/>
  <c r="L44" i="2"/>
  <c r="I44" i="2"/>
  <c r="N40" i="1"/>
  <c r="M40" i="1"/>
  <c r="O40" i="1"/>
  <c r="P40" i="1"/>
  <c r="L40" i="1"/>
  <c r="J44" i="2" l="1"/>
  <c r="F54" i="3" s="1"/>
  <c r="M44" i="2"/>
  <c r="I54" i="3" s="1"/>
  <c r="I53" i="3"/>
  <c r="K44" i="2"/>
  <c r="G53" i="3"/>
  <c r="H54" i="3"/>
  <c r="E54" i="3"/>
  <c r="L45" i="2"/>
  <c r="I45" i="2"/>
  <c r="O41" i="1"/>
  <c r="M41" i="1"/>
  <c r="P41" i="1"/>
  <c r="L41" i="1"/>
  <c r="N41" i="1"/>
  <c r="J45" i="2" l="1"/>
  <c r="F55" i="3" s="1"/>
  <c r="K45" i="2"/>
  <c r="G55" i="3" s="1"/>
  <c r="M45" i="2"/>
  <c r="G54" i="3"/>
  <c r="H55" i="3"/>
  <c r="E55" i="3"/>
  <c r="I46" i="2"/>
  <c r="L46" i="2"/>
  <c r="M42" i="1"/>
  <c r="L42" i="1"/>
  <c r="N42" i="1"/>
  <c r="P42" i="1"/>
  <c r="O42" i="1"/>
  <c r="M46" i="2" l="1"/>
  <c r="I56" i="3" s="1"/>
  <c r="I55" i="3"/>
  <c r="J46" i="2"/>
  <c r="K46" i="2"/>
  <c r="G56" i="3" s="1"/>
  <c r="H56" i="3"/>
  <c r="E56" i="3"/>
  <c r="I47" i="2"/>
  <c r="L47" i="2"/>
  <c r="O43" i="1"/>
  <c r="N43" i="1"/>
  <c r="M43" i="1"/>
  <c r="P43" i="1"/>
  <c r="L43" i="1"/>
  <c r="M47" i="2" l="1"/>
  <c r="I57" i="3" s="1"/>
  <c r="J47" i="2"/>
  <c r="F56" i="3"/>
  <c r="K47" i="2"/>
  <c r="E57" i="3"/>
  <c r="H57" i="3"/>
  <c r="I48" i="2"/>
  <c r="L48" i="2"/>
  <c r="M44" i="1"/>
  <c r="O44" i="1"/>
  <c r="P44" i="1"/>
  <c r="N44" i="1"/>
  <c r="L44" i="1"/>
  <c r="K48" i="2" l="1"/>
  <c r="G58" i="3" s="1"/>
  <c r="J48" i="2"/>
  <c r="F58" i="3" s="1"/>
  <c r="G57" i="3"/>
  <c r="F57" i="3"/>
  <c r="M48" i="2"/>
  <c r="H58" i="3"/>
  <c r="E58" i="3"/>
  <c r="L49" i="2"/>
  <c r="I49" i="2"/>
  <c r="M45" i="1"/>
  <c r="P45" i="1"/>
  <c r="O45" i="1"/>
  <c r="N45" i="1"/>
  <c r="L45" i="1"/>
  <c r="K49" i="2" l="1"/>
  <c r="G59" i="3" s="1"/>
  <c r="J49" i="2"/>
  <c r="F59" i="3" s="1"/>
  <c r="M49" i="2"/>
  <c r="I59" i="3" s="1"/>
  <c r="I58" i="3"/>
  <c r="E59" i="3"/>
  <c r="H59" i="3"/>
  <c r="L50" i="2"/>
  <c r="L51" i="2" s="1"/>
  <c r="I50" i="2"/>
  <c r="I51" i="2" s="1"/>
  <c r="M46" i="1"/>
  <c r="M47" i="1" s="1"/>
  <c r="P46" i="1"/>
  <c r="P47" i="1" s="1"/>
  <c r="L46" i="1"/>
  <c r="L47" i="1" s="1"/>
  <c r="O46" i="1"/>
  <c r="O47" i="1" s="1"/>
  <c r="N46" i="1"/>
  <c r="N47" i="1" s="1"/>
  <c r="K50" i="2" l="1"/>
  <c r="K51" i="2" s="1"/>
  <c r="M50" i="2"/>
  <c r="M51" i="2" s="1"/>
  <c r="J50" i="2"/>
  <c r="J51" i="2" s="1"/>
  <c r="G60" i="3" l="1"/>
  <c r="I60" i="3"/>
  <c r="F60" i="3"/>
  <c r="E60" i="3"/>
  <c r="H60" i="3"/>
  <c r="H8" i="3" l="1"/>
  <c r="H9" i="3" s="1"/>
  <c r="H12" i="3" s="1"/>
  <c r="H13" i="3" s="1"/>
  <c r="H7" i="3"/>
  <c r="E8" i="3"/>
  <c r="E9" i="3" s="1"/>
  <c r="E12" i="3" s="1"/>
  <c r="E13" i="3" s="1"/>
  <c r="E7" i="3"/>
  <c r="F8" i="3"/>
  <c r="F9" i="3" s="1"/>
  <c r="F12" i="3" s="1"/>
  <c r="F13" i="3" s="1"/>
  <c r="F7" i="3"/>
  <c r="I8" i="3"/>
  <c r="I9" i="3" s="1"/>
  <c r="I12" i="3" s="1"/>
  <c r="I13" i="3" s="1"/>
  <c r="I7" i="3"/>
  <c r="G8" i="3"/>
  <c r="G9" i="3" s="1"/>
  <c r="G12" i="3" s="1"/>
  <c r="G13" i="3" s="1"/>
  <c r="G7" i="3"/>
</calcChain>
</file>

<file path=xl/sharedStrings.xml><?xml version="1.0" encoding="utf-8"?>
<sst xmlns="http://schemas.openxmlformats.org/spreadsheetml/2006/main" count="69" uniqueCount="52">
  <si>
    <t xml:space="preserve">  do 24 lat</t>
  </si>
  <si>
    <t>a</t>
  </si>
  <si>
    <t>b</t>
  </si>
  <si>
    <t xml:space="preserve">  25 - 34</t>
  </si>
  <si>
    <t xml:space="preserve">  35 - 44</t>
  </si>
  <si>
    <t xml:space="preserve">  45 - 54</t>
  </si>
  <si>
    <t xml:space="preserve">  55 - 59</t>
  </si>
  <si>
    <t xml:space="preserve">  60 - 64</t>
  </si>
  <si>
    <t xml:space="preserve">  65 lat i więcej</t>
  </si>
  <si>
    <t>Twój wiek</t>
  </si>
  <si>
    <t>średnio</t>
  </si>
  <si>
    <t>Twoje wynagrodzenie miesięczne netto</t>
  </si>
  <si>
    <t>% średniego</t>
  </si>
  <si>
    <t>Lata</t>
  </si>
  <si>
    <t>wynagrodzenie</t>
  </si>
  <si>
    <t>Oszczędnoście</t>
  </si>
  <si>
    <t>Niski</t>
  </si>
  <si>
    <t>Średni</t>
  </si>
  <si>
    <t>Wysoki</t>
  </si>
  <si>
    <t>Bardzo wysoki</t>
  </si>
  <si>
    <t>TOP</t>
  </si>
  <si>
    <t>Wiek</t>
  </si>
  <si>
    <t>Jakiego procentu ostatniej pensji możesz spodziewać się na emeryturze</t>
  </si>
  <si>
    <t>Prawdopodobieństwo tego, ze osiągniesz wiek emerytalny</t>
  </si>
  <si>
    <t>Oczekiwana długość życia po osiągnięciu wieku emerytalnego</t>
  </si>
  <si>
    <t>Kobieta 50 lat</t>
  </si>
  <si>
    <t>Mężczyzna 50 lat</t>
  </si>
  <si>
    <t>Kobieta 40 lat</t>
  </si>
  <si>
    <t>Mężczyzna 40 lat</t>
  </si>
  <si>
    <t>Kobieta 30 lat</t>
  </si>
  <si>
    <t>Mężczyzna 30 lat</t>
  </si>
  <si>
    <t>Kobieta 20 lat</t>
  </si>
  <si>
    <t>Mężczyzna 20 lat</t>
  </si>
  <si>
    <t>M</t>
  </si>
  <si>
    <t>K</t>
  </si>
  <si>
    <t>% ostatniego wynagrodzenia</t>
  </si>
  <si>
    <t>Ile powinieneś mieć oszczędności w danym wieku</t>
  </si>
  <si>
    <t>Prognozowana stopa zastąpienia (ZUS)</t>
  </si>
  <si>
    <t>Ile powinieneś uzbierać do emerytury (65 lat)</t>
  </si>
  <si>
    <t>Twoje obecne wynagrodzenie miesięczne netto</t>
  </si>
  <si>
    <t>Łączna emerytura (ZUS + aktywa)</t>
  </si>
  <si>
    <t>WPROWADŹ DANE W ŻÓŁTE POLA:</t>
  </si>
  <si>
    <t>Kalkulator uwzględnia rozkład poziomu wynagrodzenia w zależności od wieku (na podstawie danych GUS)</t>
  </si>
  <si>
    <t>Kalkulator uwzględnia subiektywny poziom wydatków w trakcie życia Polaka</t>
  </si>
  <si>
    <t>Kalkulator nie uwzględnia inflacji. Zarówno po stronie wynagrodzenia, oszczędności jak i stóp zwrotu z aktywów
Kalkulator zakłada stopę zwrotu z aktywów (oszczędności) na poziomie 2,5%
Przewidywana stopa zastąpienia została uśredniona dla kobiet i mężczyzn</t>
  </si>
  <si>
    <t>Poziomy oszczędności są ustalone na podstawie stóp oszczędności (uwzględniających poziom wydatków i wynagrodzenie w danym wieku)</t>
  </si>
  <si>
    <t>Podstawowe założenia do kalkulatora</t>
  </si>
  <si>
    <t>Ile powinieneś mieć oszczędności (obecnie)</t>
  </si>
  <si>
    <t>Dodatkowa emerytura  (4% aktywów rocznie)</t>
  </si>
  <si>
    <t>Emerytura na podstawie stopy zastąpienia(ZUS)*</t>
  </si>
  <si>
    <t>* uwzględnia minimalną emeryturę na poziomie 1218 złotych</t>
  </si>
  <si>
    <t>Twój wiek (22 do 65 lat)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</si>
</sst>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\ &quot;zł&quot;_-;\-* #,##0\ &quot;zł&quot;_-;_-* &quot;-&quot;??\ &quot;zł&quot;_-;_-@_-"/>
    <numFmt numFmtId="167" formatCode="0.0%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zcionka tekstu podstawowego"/>
      <family val="2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6" fillId="0" borderId="0"/>
    <xf numFmtId="0" fontId="1" fillId="0" borderId="0"/>
    <xf numFmtId="0" fontId="7" fillId="0" borderId="0">
      <alignment vertical="top"/>
      <protection locked="0"/>
    </xf>
  </cellStyleXfs>
  <cellXfs count="95">
    <xf numFmtId="0" fontId="0" fillId="0" borderId="0" xfId="0"/>
    <xf numFmtId="0" fontId="5" fillId="0" borderId="1" xfId="4" applyFont="1" applyBorder="1" applyAlignment="1">
      <alignment horizontal="right"/>
    </xf>
    <xf numFmtId="49" fontId="5" fillId="0" borderId="0" xfId="4" applyNumberFormat="1" applyFont="1"/>
    <xf numFmtId="164" fontId="5" fillId="0" borderId="2" xfId="4" applyNumberFormat="1" applyFont="1" applyBorder="1"/>
    <xf numFmtId="2" fontId="5" fillId="0" borderId="2" xfId="4" applyNumberFormat="1" applyFont="1" applyBorder="1"/>
    <xf numFmtId="0" fontId="8" fillId="0" borderId="0" xfId="0" applyFont="1"/>
    <xf numFmtId="0" fontId="0" fillId="0" borderId="0" xfId="0" applyAlignment="1">
      <alignment wrapText="1"/>
    </xf>
    <xf numFmtId="165" fontId="0" fillId="0" borderId="0" xfId="1" applyNumberFormat="1" applyFont="1"/>
    <xf numFmtId="165" fontId="0" fillId="0" borderId="0" xfId="0" applyNumberFormat="1"/>
    <xf numFmtId="9" fontId="0" fillId="0" borderId="0" xfId="3" applyFont="1"/>
    <xf numFmtId="166" fontId="0" fillId="0" borderId="0" xfId="2" applyNumberFormat="1" applyFont="1" applyAlignment="1">
      <alignment wrapText="1"/>
    </xf>
    <xf numFmtId="9" fontId="0" fillId="0" borderId="0" xfId="0" applyNumberFormat="1"/>
    <xf numFmtId="1" fontId="8" fillId="0" borderId="0" xfId="0" applyNumberFormat="1" applyFont="1"/>
    <xf numFmtId="166" fontId="0" fillId="0" borderId="0" xfId="0" applyNumberFormat="1"/>
    <xf numFmtId="166" fontId="0" fillId="0" borderId="7" xfId="0" applyNumberFormat="1" applyBorder="1"/>
    <xf numFmtId="166" fontId="0" fillId="0" borderId="13" xfId="0" applyNumberFormat="1" applyBorder="1"/>
    <xf numFmtId="166" fontId="0" fillId="0" borderId="14" xfId="0" applyNumberFormat="1" applyBorder="1"/>
    <xf numFmtId="0" fontId="1" fillId="0" borderId="21" xfId="0" applyFont="1" applyBorder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10" fillId="3" borderId="23" xfId="0" applyFont="1" applyFill="1" applyBorder="1" applyAlignment="1">
      <alignment horizontal="left" vertical="center"/>
    </xf>
    <xf numFmtId="9" fontId="11" fillId="3" borderId="24" xfId="0" applyNumberFormat="1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9" fontId="11" fillId="0" borderId="24" xfId="0" applyNumberFormat="1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10" fontId="0" fillId="0" borderId="0" xfId="0" applyNumberFormat="1"/>
    <xf numFmtId="0" fontId="0" fillId="0" borderId="25" xfId="0" applyBorder="1" applyAlignment="1">
      <alignment horizontal="left"/>
    </xf>
    <xf numFmtId="0" fontId="0" fillId="0" borderId="4" xfId="0" applyBorder="1" applyAlignment="1">
      <alignment horizontal="left"/>
    </xf>
    <xf numFmtId="167" fontId="0" fillId="0" borderId="0" xfId="3" applyNumberFormat="1" applyFont="1" applyFill="1" applyBorder="1"/>
    <xf numFmtId="165" fontId="0" fillId="0" borderId="7" xfId="1" applyNumberFormat="1" applyFont="1" applyBorder="1"/>
    <xf numFmtId="165" fontId="0" fillId="0" borderId="14" xfId="1" applyNumberFormat="1" applyFont="1" applyBorder="1"/>
    <xf numFmtId="165" fontId="0" fillId="0" borderId="8" xfId="1" applyNumberFormat="1" applyFont="1" applyBorder="1"/>
    <xf numFmtId="165" fontId="0" fillId="0" borderId="16" xfId="1" applyNumberFormat="1" applyFont="1" applyBorder="1"/>
    <xf numFmtId="0" fontId="3" fillId="0" borderId="0" xfId="0" applyFont="1" applyAlignment="1">
      <alignment vertical="top"/>
    </xf>
    <xf numFmtId="0" fontId="3" fillId="0" borderId="13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165" fontId="0" fillId="0" borderId="6" xfId="1" applyNumberFormat="1" applyFont="1" applyBorder="1"/>
    <xf numFmtId="165" fontId="0" fillId="0" borderId="28" xfId="1" applyNumberFormat="1" applyFont="1" applyBorder="1"/>
    <xf numFmtId="0" fontId="3" fillId="4" borderId="15" xfId="0" applyFont="1" applyFill="1" applyBorder="1" applyAlignment="1">
      <alignment horizontal="left"/>
    </xf>
    <xf numFmtId="0" fontId="13" fillId="5" borderId="5" xfId="0" applyFont="1" applyFill="1" applyBorder="1" applyAlignment="1">
      <alignment horizontal="center" vertical="top"/>
    </xf>
    <xf numFmtId="0" fontId="13" fillId="5" borderId="29" xfId="0" applyFont="1" applyFill="1" applyBorder="1" applyAlignment="1">
      <alignment horizontal="center" vertical="top"/>
    </xf>
    <xf numFmtId="0" fontId="12" fillId="4" borderId="8" xfId="0" applyFont="1" applyFill="1" applyBorder="1" applyAlignment="1">
      <alignment horizontal="center"/>
    </xf>
    <xf numFmtId="0" fontId="12" fillId="4" borderId="16" xfId="0" applyFont="1" applyFill="1" applyBorder="1" applyAlignment="1">
      <alignment horizontal="center"/>
    </xf>
    <xf numFmtId="166" fontId="15" fillId="0" borderId="11" xfId="2" applyNumberFormat="1" applyFont="1" applyBorder="1" applyAlignment="1">
      <alignment horizontal="center" vertical="center"/>
    </xf>
    <xf numFmtId="166" fontId="15" fillId="0" borderId="12" xfId="2" applyNumberFormat="1" applyFont="1" applyBorder="1" applyAlignment="1">
      <alignment horizontal="center" vertical="center"/>
    </xf>
    <xf numFmtId="166" fontId="16" fillId="0" borderId="7" xfId="2" applyNumberFormat="1" applyFont="1" applyBorder="1" applyAlignment="1">
      <alignment horizontal="center" vertical="center"/>
    </xf>
    <xf numFmtId="166" fontId="16" fillId="0" borderId="14" xfId="2" applyNumberFormat="1" applyFont="1" applyBorder="1" applyAlignment="1">
      <alignment horizontal="center" vertical="center"/>
    </xf>
    <xf numFmtId="166" fontId="16" fillId="0" borderId="7" xfId="0" applyNumberFormat="1" applyFont="1" applyBorder="1" applyAlignment="1">
      <alignment horizontal="center" vertical="center"/>
    </xf>
    <xf numFmtId="166" fontId="16" fillId="0" borderId="14" xfId="0" applyNumberFormat="1" applyFont="1" applyBorder="1" applyAlignment="1">
      <alignment horizontal="center" vertical="center"/>
    </xf>
    <xf numFmtId="9" fontId="16" fillId="0" borderId="8" xfId="3" applyFont="1" applyBorder="1" applyAlignment="1">
      <alignment horizontal="center" vertical="center"/>
    </xf>
    <xf numFmtId="9" fontId="16" fillId="0" borderId="16" xfId="3" applyFont="1" applyBorder="1" applyAlignment="1">
      <alignment horizontal="center" vertical="center"/>
    </xf>
    <xf numFmtId="9" fontId="0" fillId="0" borderId="10" xfId="0" applyNumberFormat="1" applyBorder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7" xfId="0" applyNumberFormat="1" applyBorder="1" applyAlignment="1">
      <alignment horizontal="center"/>
    </xf>
    <xf numFmtId="9" fontId="0" fillId="0" borderId="13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0" fontId="0" fillId="0" borderId="30" xfId="0" applyBorder="1"/>
    <xf numFmtId="0" fontId="0" fillId="4" borderId="13" xfId="0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166" fontId="16" fillId="0" borderId="7" xfId="2" applyNumberFormat="1" applyFont="1" applyBorder="1" applyAlignment="1">
      <alignment horizontal="center" vertical="center"/>
    </xf>
    <xf numFmtId="166" fontId="16" fillId="0" borderId="14" xfId="2" applyNumberFormat="1" applyFont="1" applyBorder="1" applyAlignment="1">
      <alignment horizontal="center" vertical="center"/>
    </xf>
    <xf numFmtId="9" fontId="16" fillId="0" borderId="7" xfId="3" applyFont="1" applyBorder="1" applyAlignment="1">
      <alignment horizontal="right" vertical="center"/>
    </xf>
    <xf numFmtId="9" fontId="16" fillId="0" borderId="14" xfId="3" applyFont="1" applyBorder="1" applyAlignment="1">
      <alignment horizontal="right" vertical="center"/>
    </xf>
    <xf numFmtId="0" fontId="3" fillId="4" borderId="18" xfId="0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/>
    </xf>
    <xf numFmtId="0" fontId="0" fillId="0" borderId="18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20" xfId="0" applyBorder="1" applyAlignment="1">
      <alignment horizontal="left" wrapText="1"/>
    </xf>
    <xf numFmtId="0" fontId="0" fillId="0" borderId="25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6" xfId="0" applyBorder="1" applyAlignment="1">
      <alignment horizontal="left"/>
    </xf>
    <xf numFmtId="0" fontId="3" fillId="5" borderId="25" xfId="0" applyFont="1" applyFill="1" applyBorder="1" applyAlignment="1">
      <alignment horizontal="center" vertical="top"/>
    </xf>
    <xf numFmtId="0" fontId="3" fillId="5" borderId="4" xfId="0" applyFont="1" applyFill="1" applyBorder="1" applyAlignment="1">
      <alignment horizontal="center" vertical="top"/>
    </xf>
    <xf numFmtId="0" fontId="3" fillId="5" borderId="3" xfId="0" applyFont="1" applyFill="1" applyBorder="1" applyAlignment="1">
      <alignment horizontal="center" vertical="top"/>
    </xf>
    <xf numFmtId="0" fontId="3" fillId="4" borderId="10" xfId="0" applyFont="1" applyFill="1" applyBorder="1" applyAlignment="1">
      <alignment horizontal="left"/>
    </xf>
    <xf numFmtId="0" fontId="3" fillId="4" borderId="11" xfId="0" applyFont="1" applyFill="1" applyBorder="1" applyAlignment="1">
      <alignment horizontal="left"/>
    </xf>
    <xf numFmtId="0" fontId="0" fillId="6" borderId="30" xfId="0" applyFill="1" applyBorder="1" applyAlignment="1">
      <alignment horizontal="left" vertical="top" wrapText="1"/>
    </xf>
    <xf numFmtId="0" fontId="0" fillId="6" borderId="30" xfId="0" applyFill="1" applyBorder="1" applyAlignment="1">
      <alignment horizontal="left" vertical="top"/>
    </xf>
    <xf numFmtId="0" fontId="0" fillId="6" borderId="30" xfId="0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2" borderId="9" xfId="2" applyNumberFormat="1" applyFont="1" applyFill="1" applyBorder="1" applyAlignment="1" applyProtection="1">
      <alignment horizontal="center" vertical="center" wrapText="1"/>
      <protection locked="0"/>
    </xf>
    <xf numFmtId="0" fontId="0" fillId="2" borderId="9" xfId="0" applyFill="1" applyBorder="1" applyAlignment="1" applyProtection="1">
      <alignment horizontal="center" vertical="center"/>
      <protection locked="0"/>
    </xf>
  </cellXfs>
  <cellStyles count="8">
    <cellStyle name="[StdExit()]" xfId="5" xr:uid="{36EFCDDD-AFA4-42C5-B302-8ABFE1A1B7D8}"/>
    <cellStyle name="Dziesiętny" xfId="1" builtinId="3"/>
    <cellStyle name="Normalny" xfId="0" builtinId="0"/>
    <cellStyle name="Normalny 2" xfId="4" xr:uid="{FA0B48D4-0D95-48F2-8607-5139289408EB}"/>
    <cellStyle name="Normalny 3" xfId="6" xr:uid="{7647AAB5-C5F2-4266-A41B-827AC2426014}"/>
    <cellStyle name="Normalny 5" xfId="7" xr:uid="{F38B93E8-E78E-4E0A-9B9F-77F6F0825204}"/>
    <cellStyle name="Procentowy" xfId="3" builtinId="5"/>
    <cellStyle name="Walutowy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Rozkład dochodów w trakcie</a:t>
            </a:r>
            <a:r>
              <a:rPr lang="pl-PL" sz="1200" baseline="0"/>
              <a:t> życia zawodowego Polaków</a:t>
            </a:r>
            <a:endParaRPr lang="pl-PL" sz="1200"/>
          </a:p>
        </c:rich>
      </c:tx>
      <c:layout>
        <c:manualLayout>
          <c:xMode val="edge"/>
          <c:yMode val="edge"/>
          <c:x val="0.1333888888888888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8.7700934973489755E-2"/>
          <c:y val="0.24023904382470115"/>
          <c:w val="0.8602240984937124"/>
          <c:h val="0.46491827963735605"/>
        </c:manualLayout>
      </c:layout>
      <c:areaChart>
        <c:grouping val="standard"/>
        <c:varyColors val="0"/>
        <c:ser>
          <c:idx val="1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założenia!$H$3:$H$46</c:f>
              <c:numCache>
                <c:formatCode>General</c:formatCode>
                <c:ptCount val="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</c:numCache>
            </c:numRef>
          </c:cat>
          <c:val>
            <c:numRef>
              <c:f>założenia!$J$3:$J$46</c:f>
              <c:numCache>
                <c:formatCode>0%</c:formatCode>
                <c:ptCount val="44"/>
                <c:pt idx="0">
                  <c:v>0.69</c:v>
                </c:pt>
                <c:pt idx="1">
                  <c:v>0.69</c:v>
                </c:pt>
                <c:pt idx="2">
                  <c:v>0.69</c:v>
                </c:pt>
                <c:pt idx="3">
                  <c:v>0.73</c:v>
                </c:pt>
                <c:pt idx="4">
                  <c:v>0.76999999999999991</c:v>
                </c:pt>
                <c:pt idx="5">
                  <c:v>0.80999999999999994</c:v>
                </c:pt>
                <c:pt idx="6">
                  <c:v>0.85</c:v>
                </c:pt>
                <c:pt idx="7">
                  <c:v>0.89000000000000012</c:v>
                </c:pt>
                <c:pt idx="8">
                  <c:v>0.92999999999999994</c:v>
                </c:pt>
                <c:pt idx="9">
                  <c:v>0.94459999999999988</c:v>
                </c:pt>
                <c:pt idx="10">
                  <c:v>0.95919999999999972</c:v>
                </c:pt>
                <c:pt idx="11">
                  <c:v>0.97379999999999967</c:v>
                </c:pt>
                <c:pt idx="12">
                  <c:v>0.98839999999999961</c:v>
                </c:pt>
                <c:pt idx="13">
                  <c:v>1.0029999999999994</c:v>
                </c:pt>
                <c:pt idx="14">
                  <c:v>1.0175999999999994</c:v>
                </c:pt>
                <c:pt idx="15">
                  <c:v>1.0321999999999993</c:v>
                </c:pt>
                <c:pt idx="16">
                  <c:v>1.0467999999999993</c:v>
                </c:pt>
                <c:pt idx="17">
                  <c:v>1.061399999999999</c:v>
                </c:pt>
                <c:pt idx="18">
                  <c:v>1.0759999999999998</c:v>
                </c:pt>
                <c:pt idx="19">
                  <c:v>1.0728999999999997</c:v>
                </c:pt>
                <c:pt idx="20">
                  <c:v>1.0697999999999996</c:v>
                </c:pt>
                <c:pt idx="21">
                  <c:v>1.0666999999999995</c:v>
                </c:pt>
                <c:pt idx="22">
                  <c:v>1.0635999999999997</c:v>
                </c:pt>
                <c:pt idx="23">
                  <c:v>1.0604999999999996</c:v>
                </c:pt>
                <c:pt idx="24">
                  <c:v>1.0573999999999995</c:v>
                </c:pt>
                <c:pt idx="25">
                  <c:v>1.0542999999999993</c:v>
                </c:pt>
                <c:pt idx="26">
                  <c:v>1.0511999999999995</c:v>
                </c:pt>
                <c:pt idx="27">
                  <c:v>1.0480999999999994</c:v>
                </c:pt>
                <c:pt idx="28">
                  <c:v>1.0449999999999999</c:v>
                </c:pt>
                <c:pt idx="29">
                  <c:v>1.0319999999999998</c:v>
                </c:pt>
                <c:pt idx="30">
                  <c:v>1.0189999999999999</c:v>
                </c:pt>
                <c:pt idx="31">
                  <c:v>1.006</c:v>
                </c:pt>
                <c:pt idx="32">
                  <c:v>0.99299999999999999</c:v>
                </c:pt>
                <c:pt idx="33">
                  <c:v>0.98</c:v>
                </c:pt>
                <c:pt idx="34">
                  <c:v>0.96699999999999997</c:v>
                </c:pt>
                <c:pt idx="35">
                  <c:v>0.96700000000000019</c:v>
                </c:pt>
                <c:pt idx="36">
                  <c:v>0.97133333333333338</c:v>
                </c:pt>
                <c:pt idx="37">
                  <c:v>0.97566666666666679</c:v>
                </c:pt>
                <c:pt idx="38">
                  <c:v>0.9800000000000002</c:v>
                </c:pt>
                <c:pt idx="39">
                  <c:v>0.9843333333333335</c:v>
                </c:pt>
                <c:pt idx="40">
                  <c:v>0.98866666666666692</c:v>
                </c:pt>
                <c:pt idx="41">
                  <c:v>0.99299999999999999</c:v>
                </c:pt>
                <c:pt idx="42">
                  <c:v>0.99299999999999999</c:v>
                </c:pt>
                <c:pt idx="43">
                  <c:v>0.99299999999999999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9-4BD8-9FC6-C1F03BB4BE02}"/>
            </c:ext>
          </c:extLst>
        </c:ser>
        <c:ser>
          <c:idx val="2"/>
          <c:order val="1"/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założenia!$H$3:$H$46</c:f>
              <c:numCache>
                <c:formatCode>General</c:formatCode>
                <c:ptCount val="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</c:numCache>
            </c:numRef>
          </c:cat>
          <c:val>
            <c:numRef>
              <c:f>założenia!$J$2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9-4BD8-9FC6-C1F03BB4B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342303"/>
        <c:axId val="2035963935"/>
      </c:areaChart>
      <c:catAx>
        <c:axId val="213934230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Wiek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35963935"/>
        <c:crosses val="autoZero"/>
        <c:auto val="1"/>
        <c:lblAlgn val="ctr"/>
        <c:lblOffset val="100"/>
        <c:noMultiLvlLbl val="0"/>
      </c:catAx>
      <c:valAx>
        <c:axId val="2035963935"/>
        <c:scaling>
          <c:orientation val="minMax"/>
          <c:min val="0.30000000000000004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Poziom</a:t>
                </a:r>
                <a:r>
                  <a:rPr lang="pl-PL" baseline="0"/>
                  <a:t> dochodów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%" sourceLinked="1"/>
        <c:majorTickMark val="out"/>
        <c:minorTickMark val="none"/>
        <c:tickLblPos val="nextTo"/>
        <c:crossAx val="21393423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Rozkład wydatków w trakcie</a:t>
            </a:r>
            <a:r>
              <a:rPr lang="pl-PL" sz="1200" baseline="0"/>
              <a:t> życia Polaka</a:t>
            </a:r>
            <a:endParaRPr lang="pl-PL" sz="1200"/>
          </a:p>
        </c:rich>
      </c:tx>
      <c:layout>
        <c:manualLayout>
          <c:xMode val="edge"/>
          <c:yMode val="edge"/>
          <c:x val="0.20476289941191431"/>
          <c:y val="5.353529547869478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ndard"/>
        <c:varyColors val="0"/>
        <c:ser>
          <c:idx val="3"/>
          <c:order val="0"/>
          <c:spPr>
            <a:ln w="25400">
              <a:noFill/>
            </a:ln>
          </c:spPr>
          <c:cat>
            <c:numRef>
              <c:f>założenia!$H$3:$H$46</c:f>
              <c:numCache>
                <c:formatCode>General</c:formatCode>
                <c:ptCount val="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</c:numCache>
            </c:numRef>
          </c:cat>
          <c:val>
            <c:numRef>
              <c:f>założenia!$J$2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6-47A7-87EE-9EB174241F2B}"/>
            </c:ext>
          </c:extLst>
        </c:ser>
        <c:ser>
          <c:idx val="1"/>
          <c:order val="1"/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numRef>
              <c:f>założenia!$H$3:$H$46</c:f>
              <c:numCache>
                <c:formatCode>General</c:formatCode>
                <c:ptCount val="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</c:numCache>
            </c:numRef>
          </c:cat>
          <c:val>
            <c:numRef>
              <c:f>założenia!$K$3:$K$46</c:f>
              <c:numCache>
                <c:formatCode>0%</c:formatCode>
                <c:ptCount val="44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0.75</c:v>
                </c:pt>
                <c:pt idx="6">
                  <c:v>0.8</c:v>
                </c:pt>
                <c:pt idx="7">
                  <c:v>0.85000000000000009</c:v>
                </c:pt>
                <c:pt idx="8">
                  <c:v>0.90000000000000013</c:v>
                </c:pt>
                <c:pt idx="9">
                  <c:v>0.95000000000000018</c:v>
                </c:pt>
                <c:pt idx="10">
                  <c:v>1.0000000000000002</c:v>
                </c:pt>
                <c:pt idx="11">
                  <c:v>1.0500000000000003</c:v>
                </c:pt>
                <c:pt idx="12">
                  <c:v>1.1000000000000003</c:v>
                </c:pt>
                <c:pt idx="13">
                  <c:v>1.1500000000000004</c:v>
                </c:pt>
                <c:pt idx="14">
                  <c:v>1.2000000000000004</c:v>
                </c:pt>
                <c:pt idx="15">
                  <c:v>1.2500000000000004</c:v>
                </c:pt>
                <c:pt idx="16">
                  <c:v>1.3000000000000005</c:v>
                </c:pt>
                <c:pt idx="17">
                  <c:v>1.3500000000000005</c:v>
                </c:pt>
                <c:pt idx="18">
                  <c:v>1.3500000000000005</c:v>
                </c:pt>
                <c:pt idx="19">
                  <c:v>1.3500000000000005</c:v>
                </c:pt>
                <c:pt idx="20">
                  <c:v>1.3500000000000005</c:v>
                </c:pt>
                <c:pt idx="21">
                  <c:v>1.3500000000000005</c:v>
                </c:pt>
                <c:pt idx="22">
                  <c:v>1.3500000000000005</c:v>
                </c:pt>
                <c:pt idx="23">
                  <c:v>1.3500000000000005</c:v>
                </c:pt>
                <c:pt idx="24">
                  <c:v>1.3000000000000005</c:v>
                </c:pt>
                <c:pt idx="25">
                  <c:v>1.2500000000000004</c:v>
                </c:pt>
                <c:pt idx="26">
                  <c:v>1.2000000000000004</c:v>
                </c:pt>
                <c:pt idx="27">
                  <c:v>1.1500000000000004</c:v>
                </c:pt>
                <c:pt idx="28">
                  <c:v>1.1000000000000003</c:v>
                </c:pt>
                <c:pt idx="29">
                  <c:v>1.0500000000000003</c:v>
                </c:pt>
                <c:pt idx="30">
                  <c:v>1.0250000000000004</c:v>
                </c:pt>
                <c:pt idx="31">
                  <c:v>1.0000000000000004</c:v>
                </c:pt>
                <c:pt idx="32">
                  <c:v>0.97500000000000042</c:v>
                </c:pt>
                <c:pt idx="33">
                  <c:v>0.9500000000000004</c:v>
                </c:pt>
                <c:pt idx="34">
                  <c:v>0.92500000000000038</c:v>
                </c:pt>
                <c:pt idx="35">
                  <c:v>0.90000000000000036</c:v>
                </c:pt>
                <c:pt idx="36">
                  <c:v>0.90000000000000036</c:v>
                </c:pt>
                <c:pt idx="37">
                  <c:v>0.90000000000000036</c:v>
                </c:pt>
                <c:pt idx="38">
                  <c:v>0.90000000000000036</c:v>
                </c:pt>
                <c:pt idx="39">
                  <c:v>0.90000000000000036</c:v>
                </c:pt>
                <c:pt idx="40">
                  <c:v>0.90000000000000036</c:v>
                </c:pt>
                <c:pt idx="41">
                  <c:v>0.90000000000000036</c:v>
                </c:pt>
                <c:pt idx="42">
                  <c:v>0.90000000000000036</c:v>
                </c:pt>
                <c:pt idx="43">
                  <c:v>0.90000000000000036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6-47A7-87EE-9EB174241F2B}"/>
            </c:ext>
          </c:extLst>
        </c:ser>
        <c:ser>
          <c:idx val="2"/>
          <c:order val="2"/>
          <c:spPr>
            <a:ln w="25400">
              <a:noFill/>
            </a:ln>
          </c:spPr>
          <c:cat>
            <c:numRef>
              <c:f>założenia!$H$3:$H$46</c:f>
              <c:numCache>
                <c:formatCode>General</c:formatCode>
                <c:ptCount val="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</c:numCache>
            </c:numRef>
          </c:cat>
          <c:val>
            <c:numRef>
              <c:f>założenia!$J$2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F6-47A7-87EE-9EB174241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342303"/>
        <c:axId val="2035963935"/>
      </c:areaChart>
      <c:catAx>
        <c:axId val="213934230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Wiek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35963935"/>
        <c:crosses val="autoZero"/>
        <c:auto val="1"/>
        <c:lblAlgn val="ctr"/>
        <c:lblOffset val="100"/>
        <c:noMultiLvlLbl val="0"/>
      </c:catAx>
      <c:valAx>
        <c:axId val="2035963935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Poziom</a:t>
                </a:r>
                <a:r>
                  <a:rPr lang="pl-PL" baseline="0"/>
                  <a:t> wydatków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2139342303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bg2"/>
      </a:solidFill>
    </a:ln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Stopa oszczędności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2807019809850797E-2"/>
          <c:y val="0.10408298400118171"/>
          <c:w val="0.93438596038029842"/>
          <c:h val="0.745852073326643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'Ile powinieneś mieć'!$E$6:$I$6</c:f>
              <c:strCache>
                <c:ptCount val="5"/>
                <c:pt idx="0">
                  <c:v>Niski</c:v>
                </c:pt>
                <c:pt idx="1">
                  <c:v>Średni</c:v>
                </c:pt>
                <c:pt idx="2">
                  <c:v>Wysoki</c:v>
                </c:pt>
                <c:pt idx="3">
                  <c:v>Bardzo wysoki</c:v>
                </c:pt>
                <c:pt idx="4">
                  <c:v>TOP</c:v>
                </c:pt>
              </c:strCache>
            </c:strRef>
          </c:cat>
          <c:val>
            <c:numRef>
              <c:f>obliczenia!$D$6:$H$6</c:f>
              <c:numCache>
                <c:formatCode>0%</c:formatCode>
                <c:ptCount val="5"/>
                <c:pt idx="0">
                  <c:v>0.05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B-4006-9322-57B8B5F7AA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9353183"/>
        <c:axId val="119022159"/>
      </c:barChart>
      <c:catAx>
        <c:axId val="1879353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9022159"/>
        <c:crosses val="autoZero"/>
        <c:auto val="1"/>
        <c:lblAlgn val="ctr"/>
        <c:lblOffset val="100"/>
        <c:noMultiLvlLbl val="0"/>
      </c:catAx>
      <c:valAx>
        <c:axId val="119022159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879353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Rozkład dochodów w trakcie</a:t>
            </a:r>
            <a:r>
              <a:rPr lang="pl-PL" baseline="0"/>
              <a:t> życia zawodowego Polaków</a:t>
            </a:r>
            <a:endParaRPr lang="pl-PL"/>
          </a:p>
        </c:rich>
      </c:tx>
      <c:layout>
        <c:manualLayout>
          <c:xMode val="edge"/>
          <c:yMode val="edge"/>
          <c:x val="0.13338888888888886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ndard"/>
        <c:varyColors val="0"/>
        <c:ser>
          <c:idx val="0"/>
          <c:order val="0"/>
          <c:cat>
            <c:numRef>
              <c:f>założenia!$H$3:$H$46</c:f>
              <c:numCache>
                <c:formatCode>General</c:formatCode>
                <c:ptCount val="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</c:numCache>
            </c:numRef>
          </c:cat>
          <c:val>
            <c:numRef>
              <c:f>założenia!$J$3:$J$46</c:f>
              <c:numCache>
                <c:formatCode>0%</c:formatCode>
                <c:ptCount val="44"/>
                <c:pt idx="0">
                  <c:v>0.69</c:v>
                </c:pt>
                <c:pt idx="1">
                  <c:v>0.69</c:v>
                </c:pt>
                <c:pt idx="2">
                  <c:v>0.69</c:v>
                </c:pt>
                <c:pt idx="3">
                  <c:v>0.73</c:v>
                </c:pt>
                <c:pt idx="4">
                  <c:v>0.76999999999999991</c:v>
                </c:pt>
                <c:pt idx="5">
                  <c:v>0.80999999999999994</c:v>
                </c:pt>
                <c:pt idx="6">
                  <c:v>0.85</c:v>
                </c:pt>
                <c:pt idx="7">
                  <c:v>0.89000000000000012</c:v>
                </c:pt>
                <c:pt idx="8">
                  <c:v>0.92999999999999994</c:v>
                </c:pt>
                <c:pt idx="9">
                  <c:v>0.94459999999999988</c:v>
                </c:pt>
                <c:pt idx="10">
                  <c:v>0.95919999999999972</c:v>
                </c:pt>
                <c:pt idx="11">
                  <c:v>0.97379999999999967</c:v>
                </c:pt>
                <c:pt idx="12">
                  <c:v>0.98839999999999961</c:v>
                </c:pt>
                <c:pt idx="13">
                  <c:v>1.0029999999999994</c:v>
                </c:pt>
                <c:pt idx="14">
                  <c:v>1.0175999999999994</c:v>
                </c:pt>
                <c:pt idx="15">
                  <c:v>1.0321999999999993</c:v>
                </c:pt>
                <c:pt idx="16">
                  <c:v>1.0467999999999993</c:v>
                </c:pt>
                <c:pt idx="17">
                  <c:v>1.061399999999999</c:v>
                </c:pt>
                <c:pt idx="18">
                  <c:v>1.0759999999999998</c:v>
                </c:pt>
                <c:pt idx="19">
                  <c:v>1.0728999999999997</c:v>
                </c:pt>
                <c:pt idx="20">
                  <c:v>1.0697999999999996</c:v>
                </c:pt>
                <c:pt idx="21">
                  <c:v>1.0666999999999995</c:v>
                </c:pt>
                <c:pt idx="22">
                  <c:v>1.0635999999999997</c:v>
                </c:pt>
                <c:pt idx="23">
                  <c:v>1.0604999999999996</c:v>
                </c:pt>
                <c:pt idx="24">
                  <c:v>1.0573999999999995</c:v>
                </c:pt>
                <c:pt idx="25">
                  <c:v>1.0542999999999993</c:v>
                </c:pt>
                <c:pt idx="26">
                  <c:v>1.0511999999999995</c:v>
                </c:pt>
                <c:pt idx="27">
                  <c:v>1.0480999999999994</c:v>
                </c:pt>
                <c:pt idx="28">
                  <c:v>1.0449999999999999</c:v>
                </c:pt>
                <c:pt idx="29">
                  <c:v>1.0319999999999998</c:v>
                </c:pt>
                <c:pt idx="30">
                  <c:v>1.0189999999999999</c:v>
                </c:pt>
                <c:pt idx="31">
                  <c:v>1.006</c:v>
                </c:pt>
                <c:pt idx="32">
                  <c:v>0.99299999999999999</c:v>
                </c:pt>
                <c:pt idx="33">
                  <c:v>0.98</c:v>
                </c:pt>
                <c:pt idx="34">
                  <c:v>0.96699999999999997</c:v>
                </c:pt>
                <c:pt idx="35">
                  <c:v>0.96700000000000019</c:v>
                </c:pt>
                <c:pt idx="36">
                  <c:v>0.97133333333333338</c:v>
                </c:pt>
                <c:pt idx="37">
                  <c:v>0.97566666666666679</c:v>
                </c:pt>
                <c:pt idx="38">
                  <c:v>0.9800000000000002</c:v>
                </c:pt>
                <c:pt idx="39">
                  <c:v>0.9843333333333335</c:v>
                </c:pt>
                <c:pt idx="40">
                  <c:v>0.98866666666666692</c:v>
                </c:pt>
                <c:pt idx="41">
                  <c:v>0.99299999999999999</c:v>
                </c:pt>
                <c:pt idx="42">
                  <c:v>0.99299999999999999</c:v>
                </c:pt>
                <c:pt idx="43">
                  <c:v>0.99299999999999999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01-446F-98CC-E4EB6CD4A691}"/>
            </c:ext>
          </c:extLst>
        </c:ser>
        <c:ser>
          <c:idx val="3"/>
          <c:order val="1"/>
          <c:spPr>
            <a:ln w="25400">
              <a:noFill/>
            </a:ln>
          </c:spPr>
          <c:cat>
            <c:numRef>
              <c:f>założenia!$H$3:$H$46</c:f>
              <c:numCache>
                <c:formatCode>General</c:formatCode>
                <c:ptCount val="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</c:numCache>
            </c:numRef>
          </c:cat>
          <c:val>
            <c:numRef>
              <c:f>założenia!$J$2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01-446F-98CC-E4EB6CD4A691}"/>
            </c:ext>
          </c:extLst>
        </c:ser>
        <c:ser>
          <c:idx val="1"/>
          <c:order val="2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założenia!$H$3:$H$46</c:f>
              <c:numCache>
                <c:formatCode>General</c:formatCode>
                <c:ptCount val="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</c:numCache>
            </c:numRef>
          </c:cat>
          <c:val>
            <c:numRef>
              <c:f>założenia!$J$3:$J$46</c:f>
              <c:numCache>
                <c:formatCode>0%</c:formatCode>
                <c:ptCount val="44"/>
                <c:pt idx="0">
                  <c:v>0.69</c:v>
                </c:pt>
                <c:pt idx="1">
                  <c:v>0.69</c:v>
                </c:pt>
                <c:pt idx="2">
                  <c:v>0.69</c:v>
                </c:pt>
                <c:pt idx="3">
                  <c:v>0.73</c:v>
                </c:pt>
                <c:pt idx="4">
                  <c:v>0.76999999999999991</c:v>
                </c:pt>
                <c:pt idx="5">
                  <c:v>0.80999999999999994</c:v>
                </c:pt>
                <c:pt idx="6">
                  <c:v>0.85</c:v>
                </c:pt>
                <c:pt idx="7">
                  <c:v>0.89000000000000012</c:v>
                </c:pt>
                <c:pt idx="8">
                  <c:v>0.92999999999999994</c:v>
                </c:pt>
                <c:pt idx="9">
                  <c:v>0.94459999999999988</c:v>
                </c:pt>
                <c:pt idx="10">
                  <c:v>0.95919999999999972</c:v>
                </c:pt>
                <c:pt idx="11">
                  <c:v>0.97379999999999967</c:v>
                </c:pt>
                <c:pt idx="12">
                  <c:v>0.98839999999999961</c:v>
                </c:pt>
                <c:pt idx="13">
                  <c:v>1.0029999999999994</c:v>
                </c:pt>
                <c:pt idx="14">
                  <c:v>1.0175999999999994</c:v>
                </c:pt>
                <c:pt idx="15">
                  <c:v>1.0321999999999993</c:v>
                </c:pt>
                <c:pt idx="16">
                  <c:v>1.0467999999999993</c:v>
                </c:pt>
                <c:pt idx="17">
                  <c:v>1.061399999999999</c:v>
                </c:pt>
                <c:pt idx="18">
                  <c:v>1.0759999999999998</c:v>
                </c:pt>
                <c:pt idx="19">
                  <c:v>1.0728999999999997</c:v>
                </c:pt>
                <c:pt idx="20">
                  <c:v>1.0697999999999996</c:v>
                </c:pt>
                <c:pt idx="21">
                  <c:v>1.0666999999999995</c:v>
                </c:pt>
                <c:pt idx="22">
                  <c:v>1.0635999999999997</c:v>
                </c:pt>
                <c:pt idx="23">
                  <c:v>1.0604999999999996</c:v>
                </c:pt>
                <c:pt idx="24">
                  <c:v>1.0573999999999995</c:v>
                </c:pt>
                <c:pt idx="25">
                  <c:v>1.0542999999999993</c:v>
                </c:pt>
                <c:pt idx="26">
                  <c:v>1.0511999999999995</c:v>
                </c:pt>
                <c:pt idx="27">
                  <c:v>1.0480999999999994</c:v>
                </c:pt>
                <c:pt idx="28">
                  <c:v>1.0449999999999999</c:v>
                </c:pt>
                <c:pt idx="29">
                  <c:v>1.0319999999999998</c:v>
                </c:pt>
                <c:pt idx="30">
                  <c:v>1.0189999999999999</c:v>
                </c:pt>
                <c:pt idx="31">
                  <c:v>1.006</c:v>
                </c:pt>
                <c:pt idx="32">
                  <c:v>0.99299999999999999</c:v>
                </c:pt>
                <c:pt idx="33">
                  <c:v>0.98</c:v>
                </c:pt>
                <c:pt idx="34">
                  <c:v>0.96699999999999997</c:v>
                </c:pt>
                <c:pt idx="35">
                  <c:v>0.96700000000000019</c:v>
                </c:pt>
                <c:pt idx="36">
                  <c:v>0.97133333333333338</c:v>
                </c:pt>
                <c:pt idx="37">
                  <c:v>0.97566666666666679</c:v>
                </c:pt>
                <c:pt idx="38">
                  <c:v>0.9800000000000002</c:v>
                </c:pt>
                <c:pt idx="39">
                  <c:v>0.9843333333333335</c:v>
                </c:pt>
                <c:pt idx="40">
                  <c:v>0.98866666666666692</c:v>
                </c:pt>
                <c:pt idx="41">
                  <c:v>0.99299999999999999</c:v>
                </c:pt>
                <c:pt idx="42">
                  <c:v>0.99299999999999999</c:v>
                </c:pt>
                <c:pt idx="43">
                  <c:v>0.99299999999999999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01-446F-98CC-E4EB6CD4A691}"/>
            </c:ext>
          </c:extLst>
        </c:ser>
        <c:ser>
          <c:idx val="2"/>
          <c:order val="3"/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założenia!$H$3:$H$46</c:f>
              <c:numCache>
                <c:formatCode>General</c:formatCode>
                <c:ptCount val="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58</c:v>
                </c:pt>
                <c:pt idx="37">
                  <c:v>59</c:v>
                </c:pt>
                <c:pt idx="38">
                  <c:v>60</c:v>
                </c:pt>
                <c:pt idx="39">
                  <c:v>61</c:v>
                </c:pt>
                <c:pt idx="40">
                  <c:v>62</c:v>
                </c:pt>
                <c:pt idx="41">
                  <c:v>63</c:v>
                </c:pt>
                <c:pt idx="42">
                  <c:v>64</c:v>
                </c:pt>
                <c:pt idx="43">
                  <c:v>65</c:v>
                </c:pt>
              </c:numCache>
            </c:numRef>
          </c:cat>
          <c:val>
            <c:numRef>
              <c:f>założenia!$J$2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01-446F-98CC-E4EB6CD4A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342303"/>
        <c:axId val="2035963935"/>
      </c:areaChart>
      <c:catAx>
        <c:axId val="213934230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Wiek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35963935"/>
        <c:crosses val="autoZero"/>
        <c:auto val="1"/>
        <c:lblAlgn val="ctr"/>
        <c:lblOffset val="100"/>
        <c:noMultiLvlLbl val="0"/>
      </c:catAx>
      <c:valAx>
        <c:axId val="2035963935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Poziom</a:t>
                </a:r>
                <a:r>
                  <a:rPr lang="pl-PL" baseline="0"/>
                  <a:t> dochodów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crossAx val="2139342303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272332</xdr:colOff>
      <xdr:row>0</xdr:row>
      <xdr:rowOff>0</xdr:rowOff>
    </xdr:from>
    <xdr:to>
      <xdr:col>9</xdr:col>
      <xdr:colOff>4235</xdr:colOff>
      <xdr:row>4</xdr:row>
      <xdr:rowOff>251460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133344D-CFAC-32B1-4A0D-89C71EF70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592" y="0"/>
          <a:ext cx="2703703" cy="1074420"/>
        </a:xfrm>
        <a:prstGeom prst="rect">
          <a:avLst/>
        </a:prstGeom>
      </xdr:spPr>
    </xdr:pic>
    <xdr:clientData/>
  </xdr:twoCellAnchor>
  <xdr:twoCellAnchor editAs="oneCell">
    <xdr:from>
      <xdr:col>6</xdr:col>
      <xdr:colOff>205409</xdr:colOff>
      <xdr:row>5</xdr:row>
      <xdr:rowOff>181818</xdr:rowOff>
    </xdr:from>
    <xdr:to>
      <xdr:col>6</xdr:col>
      <xdr:colOff>669235</xdr:colOff>
      <xdr:row>5</xdr:row>
      <xdr:rowOff>1005757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875D813-DB6A-5352-DC1A-0659FD347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7322" y="1135975"/>
          <a:ext cx="463826" cy="823939"/>
        </a:xfrm>
        <a:prstGeom prst="rect">
          <a:avLst/>
        </a:prstGeom>
      </xdr:spPr>
    </xdr:pic>
    <xdr:clientData/>
  </xdr:twoCellAnchor>
  <xdr:twoCellAnchor editAs="oneCell">
    <xdr:from>
      <xdr:col>1</xdr:col>
      <xdr:colOff>718251</xdr:colOff>
      <xdr:row>5</xdr:row>
      <xdr:rowOff>36063</xdr:rowOff>
    </xdr:from>
    <xdr:to>
      <xdr:col>3</xdr:col>
      <xdr:colOff>551953</xdr:colOff>
      <xdr:row>5</xdr:row>
      <xdr:rowOff>951014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41D0D6D-4F28-A73E-6695-7C6BEB8B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9711" y="1140963"/>
          <a:ext cx="1304362" cy="914951"/>
        </a:xfrm>
        <a:prstGeom prst="rect">
          <a:avLst/>
        </a:prstGeom>
      </xdr:spPr>
    </xdr:pic>
    <xdr:clientData/>
  </xdr:twoCellAnchor>
  <xdr:twoCellAnchor editAs="oneCell">
    <xdr:from>
      <xdr:col>4</xdr:col>
      <xdr:colOff>194608</xdr:colOff>
      <xdr:row>5</xdr:row>
      <xdr:rowOff>175260</xdr:rowOff>
    </xdr:from>
    <xdr:to>
      <xdr:col>4</xdr:col>
      <xdr:colOff>806858</xdr:colOff>
      <xdr:row>5</xdr:row>
      <xdr:rowOff>975360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44B09EFF-F2A8-BA8D-2A83-8D5830FA2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74028" y="1280160"/>
          <a:ext cx="612250" cy="800100"/>
        </a:xfrm>
        <a:prstGeom prst="rect">
          <a:avLst/>
        </a:prstGeom>
      </xdr:spPr>
    </xdr:pic>
    <xdr:clientData/>
  </xdr:twoCellAnchor>
  <xdr:twoCellAnchor editAs="oneCell">
    <xdr:from>
      <xdr:col>7</xdr:col>
      <xdr:colOff>236220</xdr:colOff>
      <xdr:row>5</xdr:row>
      <xdr:rowOff>222624</xdr:rowOff>
    </xdr:from>
    <xdr:to>
      <xdr:col>7</xdr:col>
      <xdr:colOff>762000</xdr:colOff>
      <xdr:row>5</xdr:row>
      <xdr:rowOff>907071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4B55C317-3D4F-6A09-D31D-70DEAC96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73040" y="1167504"/>
          <a:ext cx="525780" cy="68444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5</xdr:row>
      <xdr:rowOff>166057</xdr:rowOff>
    </xdr:from>
    <xdr:to>
      <xdr:col>8</xdr:col>
      <xdr:colOff>883920</xdr:colOff>
      <xdr:row>5</xdr:row>
      <xdr:rowOff>918072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F133F90C-0A3F-D4E6-229C-C4A735198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3620" y="1110937"/>
          <a:ext cx="807720" cy="752015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</xdr:colOff>
      <xdr:row>5</xdr:row>
      <xdr:rowOff>182880</xdr:rowOff>
    </xdr:from>
    <xdr:to>
      <xdr:col>5</xdr:col>
      <xdr:colOff>664301</xdr:colOff>
      <xdr:row>5</xdr:row>
      <xdr:rowOff>966126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9BC1035B-607E-9BDB-7BD5-93687A45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22320" y="1127760"/>
          <a:ext cx="504281" cy="7832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</xdr:colOff>
      <xdr:row>10</xdr:row>
      <xdr:rowOff>7620</xdr:rowOff>
    </xdr:from>
    <xdr:to>
      <xdr:col>12</xdr:col>
      <xdr:colOff>15240</xdr:colOff>
      <xdr:row>21</xdr:row>
      <xdr:rowOff>7620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58007D5C-AC50-4C5D-A87C-FCC220B55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</xdr:colOff>
      <xdr:row>21</xdr:row>
      <xdr:rowOff>0</xdr:rowOff>
    </xdr:from>
    <xdr:to>
      <xdr:col>12</xdr:col>
      <xdr:colOff>10886</xdr:colOff>
      <xdr:row>32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9C28C841-84D0-40A0-98CB-F87CC0CC6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8965</xdr:colOff>
      <xdr:row>32</xdr:row>
      <xdr:rowOff>8965</xdr:rowOff>
    </xdr:from>
    <xdr:to>
      <xdr:col>12</xdr:col>
      <xdr:colOff>0</xdr:colOff>
      <xdr:row>43</xdr:row>
      <xdr:rowOff>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BFCD664E-AFEF-4EB4-A07C-7C9F9AF67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0</xdr:rowOff>
    </xdr:from>
    <xdr:to>
      <xdr:col>12</xdr:col>
      <xdr:colOff>417703</xdr:colOff>
      <xdr:row>5</xdr:row>
      <xdr:rowOff>149134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A8D79A02-719C-411F-9439-7375EC017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29200" y="0"/>
          <a:ext cx="2703703" cy="1074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273423</xdr:colOff>
      <xdr:row>15</xdr:row>
      <xdr:rowOff>53789</xdr:rowOff>
    </xdr:from>
    <xdr:to>
      <xdr:col>8</xdr:col>
      <xdr:colOff>578223</xdr:colOff>
      <xdr:row>30</xdr:row>
      <xdr:rowOff>107577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8AF04E94-28CB-6EE4-736D-073FA76FDA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C4034-F2D2-4F95-A877-6BC40941300B}">
  <dimension ref="B1:J63"/>
  <sheetViews>
    <sheetView showGridLines="0" tabSelected="1" zoomScaleNormal="100" workbookViewId="0">
      <selection activeCell="M10" sqref="M10"/>
    </sheetView>
  </sheetViews>
  <sheetFormatPr defaultRowHeight="14.4"/>
  <cols>
    <col min="1" max="1" width="3.6640625" customWidth="1"/>
    <col min="2" max="2" width="12.5546875" customWidth="1"/>
    <col min="4" max="4" width="18.6640625" customWidth="1"/>
    <col min="5" max="5" width="14.21875" customWidth="1"/>
    <col min="6" max="6" width="13.77734375" customWidth="1"/>
    <col min="7" max="9" width="14.44140625" bestFit="1" customWidth="1"/>
  </cols>
  <sheetData>
    <row r="1" spans="2:10" ht="15" thickBot="1"/>
    <row r="2" spans="2:10" ht="19.8" customHeight="1" thickBot="1">
      <c r="B2" s="70" t="s">
        <v>41</v>
      </c>
      <c r="C2" s="71"/>
      <c r="D2" s="71"/>
      <c r="E2" s="72"/>
    </row>
    <row r="3" spans="2:10" ht="15" thickBot="1">
      <c r="B3" s="73" t="s">
        <v>39</v>
      </c>
      <c r="C3" s="74"/>
      <c r="D3" s="75"/>
      <c r="E3" s="93">
        <v>5000</v>
      </c>
    </row>
    <row r="4" spans="2:10" ht="15" thickBot="1">
      <c r="B4" s="76" t="s">
        <v>51</v>
      </c>
      <c r="C4" s="77"/>
      <c r="D4" s="78"/>
      <c r="E4" s="94">
        <v>40</v>
      </c>
    </row>
    <row r="5" spans="2:10" ht="22.2" customHeight="1" thickBot="1">
      <c r="B5" s="26"/>
      <c r="C5" s="27"/>
      <c r="D5" s="27"/>
      <c r="E5" s="27"/>
    </row>
    <row r="6" spans="2:10" s="33" customFormat="1" ht="80.400000000000006" customHeight="1" thickBot="1">
      <c r="B6" s="79"/>
      <c r="C6" s="80"/>
      <c r="D6" s="81"/>
      <c r="E6" s="40" t="s">
        <v>16</v>
      </c>
      <c r="F6" s="40" t="s">
        <v>17</v>
      </c>
      <c r="G6" s="40" t="s">
        <v>18</v>
      </c>
      <c r="H6" s="40" t="s">
        <v>19</v>
      </c>
      <c r="I6" s="41" t="s">
        <v>20</v>
      </c>
    </row>
    <row r="7" spans="2:10" ht="15.6">
      <c r="B7" s="82" t="s">
        <v>47</v>
      </c>
      <c r="C7" s="83"/>
      <c r="D7" s="83"/>
      <c r="E7" s="44">
        <f>VLOOKUP($E$4,$D$17:$I$60,2,FALSE)</f>
        <v>64113.610408816225</v>
      </c>
      <c r="F7" s="44">
        <f>VLOOKUP($E$4,$D$17:$I$60,3,FALSE)</f>
        <v>128227.22081763245</v>
      </c>
      <c r="G7" s="44">
        <f>VLOOKUP($E$4,$D$17:$I$60,4,FALSE)</f>
        <v>256454.4416352649</v>
      </c>
      <c r="H7" s="44">
        <f>VLOOKUP($E$4,$D$17:$I$60,5,FALSE)</f>
        <v>384681.66245289752</v>
      </c>
      <c r="I7" s="45">
        <f>VLOOKUP($E$4,$D$17:$I$60,6,FALSE)</f>
        <v>512908.8832705298</v>
      </c>
    </row>
    <row r="8" spans="2:10" ht="15.6">
      <c r="B8" s="59" t="s">
        <v>38</v>
      </c>
      <c r="C8" s="60"/>
      <c r="D8" s="60"/>
      <c r="E8" s="46">
        <f>E60</f>
        <v>209263.34384203202</v>
      </c>
      <c r="F8" s="46">
        <f>F60</f>
        <v>418526.68768406403</v>
      </c>
      <c r="G8" s="46">
        <f>G60</f>
        <v>837053.37536812807</v>
      </c>
      <c r="H8" s="46">
        <f>H60</f>
        <v>1255580.0630521926</v>
      </c>
      <c r="I8" s="47">
        <f>I60</f>
        <v>1674106.7507362561</v>
      </c>
    </row>
    <row r="9" spans="2:10" ht="15.6">
      <c r="B9" s="59" t="s">
        <v>48</v>
      </c>
      <c r="C9" s="60"/>
      <c r="D9" s="60"/>
      <c r="E9" s="46">
        <f>E8/12*4%</f>
        <v>697.54447947343999</v>
      </c>
      <c r="F9" s="46">
        <f t="shared" ref="F9:I9" si="0">F8/12*4%</f>
        <v>1395.08895894688</v>
      </c>
      <c r="G9" s="46">
        <f t="shared" si="0"/>
        <v>2790.17791789376</v>
      </c>
      <c r="H9" s="46">
        <f t="shared" si="0"/>
        <v>4185.266876840642</v>
      </c>
      <c r="I9" s="47">
        <f t="shared" si="0"/>
        <v>5580.3558357875199</v>
      </c>
    </row>
    <row r="10" spans="2:10" ht="15.6">
      <c r="B10" s="59" t="s">
        <v>37</v>
      </c>
      <c r="C10" s="60"/>
      <c r="D10" s="60"/>
      <c r="E10" s="68">
        <f>VLOOKUP('Ile powinieneś mieć'!$E$4,założenia!$S$25:$T$34,2)</f>
        <v>0.36</v>
      </c>
      <c r="F10" s="68"/>
      <c r="G10" s="68"/>
      <c r="H10" s="68"/>
      <c r="I10" s="69"/>
      <c r="J10" s="11"/>
    </row>
    <row r="11" spans="2:10" ht="15.6">
      <c r="B11" s="59" t="s">
        <v>49</v>
      </c>
      <c r="C11" s="60"/>
      <c r="D11" s="60"/>
      <c r="E11" s="66">
        <f>MAX(obliczenia!$C$50*VLOOKUP('Ile powinieneś mieć'!$E$4,założenia!$S$25:$T$34,2),1218)</f>
        <v>1661.1524163568774</v>
      </c>
      <c r="F11" s="66"/>
      <c r="G11" s="66"/>
      <c r="H11" s="66"/>
      <c r="I11" s="67"/>
    </row>
    <row r="12" spans="2:10" ht="15.6">
      <c r="B12" s="59" t="s">
        <v>40</v>
      </c>
      <c r="C12" s="60"/>
      <c r="D12" s="60"/>
      <c r="E12" s="48">
        <f>E9+$E$11</f>
        <v>2358.6968958303173</v>
      </c>
      <c r="F12" s="48">
        <f t="shared" ref="F12:I12" si="1">F9+$E$11</f>
        <v>3056.2413753037572</v>
      </c>
      <c r="G12" s="48">
        <f t="shared" si="1"/>
        <v>4451.330334250637</v>
      </c>
      <c r="H12" s="48">
        <f t="shared" si="1"/>
        <v>5846.4192931975194</v>
      </c>
      <c r="I12" s="49">
        <f t="shared" si="1"/>
        <v>7241.5082521443974</v>
      </c>
    </row>
    <row r="13" spans="2:10" ht="16.2" thickBot="1">
      <c r="B13" s="61" t="s">
        <v>35</v>
      </c>
      <c r="C13" s="62"/>
      <c r="D13" s="62"/>
      <c r="E13" s="50">
        <f>E12/obliczenia!$C$50</f>
        <v>0.51116976030481798</v>
      </c>
      <c r="F13" s="50">
        <f>F12/obliczenia!$C$50</f>
        <v>0.66233952060963586</v>
      </c>
      <c r="G13" s="50">
        <f>G12/obliczenia!$C$50</f>
        <v>0.96467904121927184</v>
      </c>
      <c r="H13" s="50">
        <f>H12/obliczenia!$C$50</f>
        <v>1.2670185618289083</v>
      </c>
      <c r="I13" s="51">
        <f>I12/obliczenia!$C$50</f>
        <v>1.5693580824385438</v>
      </c>
    </row>
    <row r="14" spans="2:10" ht="15" thickBot="1"/>
    <row r="15" spans="2:10">
      <c r="D15" s="63" t="s">
        <v>36</v>
      </c>
      <c r="E15" s="64"/>
      <c r="F15" s="64"/>
      <c r="G15" s="64"/>
      <c r="H15" s="64"/>
      <c r="I15" s="65"/>
    </row>
    <row r="16" spans="2:10" ht="15" thickBot="1">
      <c r="D16" s="39" t="s">
        <v>21</v>
      </c>
      <c r="E16" s="42" t="s">
        <v>16</v>
      </c>
      <c r="F16" s="42" t="s">
        <v>17</v>
      </c>
      <c r="G16" s="42" t="s">
        <v>18</v>
      </c>
      <c r="H16" s="42" t="s">
        <v>19</v>
      </c>
      <c r="I16" s="43" t="s">
        <v>20</v>
      </c>
    </row>
    <row r="17" spans="4:9">
      <c r="D17" s="36">
        <v>22</v>
      </c>
      <c r="E17" s="37">
        <f>obliczenia!I7</f>
        <v>2748.274030801912</v>
      </c>
      <c r="F17" s="37">
        <f>obliczenia!J7</f>
        <v>5496.548061603824</v>
      </c>
      <c r="G17" s="37">
        <f>obliczenia!K7</f>
        <v>10993.096123207648</v>
      </c>
      <c r="H17" s="37">
        <f>obliczenia!L7</f>
        <v>16489.64418481147</v>
      </c>
      <c r="I17" s="38">
        <f>obliczenia!M7</f>
        <v>21986.192246415296</v>
      </c>
    </row>
    <row r="18" spans="4:9">
      <c r="D18" s="34">
        <v>23</v>
      </c>
      <c r="E18" s="29">
        <f>obliczenia!I8</f>
        <v>5565.2549123738718</v>
      </c>
      <c r="F18" s="29">
        <f>obliczenia!J8</f>
        <v>11130.509824747744</v>
      </c>
      <c r="G18" s="29">
        <f>obliczenia!K8</f>
        <v>22261.019649495487</v>
      </c>
      <c r="H18" s="29">
        <f>obliczenia!L8</f>
        <v>33391.529474243231</v>
      </c>
      <c r="I18" s="30">
        <f>obliczenia!M8</f>
        <v>44522.039298990974</v>
      </c>
    </row>
    <row r="19" spans="4:9">
      <c r="D19" s="34">
        <v>24</v>
      </c>
      <c r="E19" s="29">
        <f>obliczenia!I9</f>
        <v>8452.6603159851293</v>
      </c>
      <c r="F19" s="29">
        <f>obliczenia!J9</f>
        <v>16905.320631970259</v>
      </c>
      <c r="G19" s="29">
        <f>obliczenia!K9</f>
        <v>33810.641263940517</v>
      </c>
      <c r="H19" s="29">
        <f>obliczenia!L9</f>
        <v>50715.961895910776</v>
      </c>
      <c r="I19" s="30">
        <f>obliczenia!M9</f>
        <v>67621.282527881034</v>
      </c>
    </row>
    <row r="20" spans="4:9">
      <c r="D20" s="34">
        <v>25</v>
      </c>
      <c r="E20" s="29">
        <f>obliczenia!I10</f>
        <v>11571.571088356346</v>
      </c>
      <c r="F20" s="29">
        <f>obliczenia!J10</f>
        <v>23143.142176712692</v>
      </c>
      <c r="G20" s="29">
        <f>obliczenia!K10</f>
        <v>46286.284353425384</v>
      </c>
      <c r="H20" s="29">
        <f>obliczenia!L10</f>
        <v>69429.42653013808</v>
      </c>
      <c r="I20" s="30">
        <f>obliczenia!M10</f>
        <v>92572.568706850769</v>
      </c>
    </row>
    <row r="21" spans="4:9">
      <c r="D21" s="34">
        <v>26</v>
      </c>
      <c r="E21" s="29">
        <f>obliczenia!I11</f>
        <v>14927.774863706518</v>
      </c>
      <c r="F21" s="29">
        <f>obliczenia!J11</f>
        <v>29855.549727413036</v>
      </c>
      <c r="G21" s="29">
        <f>obliczenia!K11</f>
        <v>59711.099454826071</v>
      </c>
      <c r="H21" s="29">
        <f>obliczenia!L11</f>
        <v>89566.649182239111</v>
      </c>
      <c r="I21" s="30">
        <f>obliczenia!M11</f>
        <v>119422.19890965214</v>
      </c>
    </row>
    <row r="22" spans="4:9">
      <c r="D22" s="34">
        <v>27</v>
      </c>
      <c r="E22" s="29">
        <f>obliczenia!I12</f>
        <v>18312.121651656056</v>
      </c>
      <c r="F22" s="29">
        <f>obliczenia!J12</f>
        <v>36624.243303312112</v>
      </c>
      <c r="G22" s="29">
        <f>obliczenia!K12</f>
        <v>73248.486606624225</v>
      </c>
      <c r="H22" s="29">
        <f>obliczenia!L12</f>
        <v>109872.72990993634</v>
      </c>
      <c r="I22" s="30">
        <f>obliczenia!M12</f>
        <v>146496.97321324845</v>
      </c>
    </row>
    <row r="23" spans="4:9">
      <c r="D23" s="34">
        <v>28</v>
      </c>
      <c r="E23" s="29">
        <f>obliczenia!I13</f>
        <v>21732.285287742998</v>
      </c>
      <c r="F23" s="29">
        <f>obliczenia!J13</f>
        <v>43464.570575485996</v>
      </c>
      <c r="G23" s="29">
        <f>obliczenia!K13</f>
        <v>86929.141150971991</v>
      </c>
      <c r="H23" s="29">
        <f>obliczenia!L13</f>
        <v>130393.71172645797</v>
      </c>
      <c r="I23" s="30">
        <f>obliczenia!M13</f>
        <v>173858.28230194398</v>
      </c>
    </row>
    <row r="24" spans="4:9">
      <c r="D24" s="34">
        <v>29</v>
      </c>
      <c r="E24" s="29">
        <f>obliczenia!I14</f>
        <v>25194.901407472105</v>
      </c>
      <c r="F24" s="29">
        <f>obliczenia!J14</f>
        <v>50389.802814944211</v>
      </c>
      <c r="G24" s="29">
        <f>obliczenia!K14</f>
        <v>100779.60562988842</v>
      </c>
      <c r="H24" s="29">
        <f>obliczenia!L14</f>
        <v>151169.40844483263</v>
      </c>
      <c r="I24" s="30">
        <f>obliczenia!M14</f>
        <v>201559.21125977684</v>
      </c>
    </row>
    <row r="25" spans="4:9">
      <c r="D25" s="34">
        <v>30</v>
      </c>
      <c r="E25" s="29">
        <f>obliczenia!I15</f>
        <v>28705.814834852215</v>
      </c>
      <c r="F25" s="29">
        <f>obliczenia!J15</f>
        <v>57411.629669704431</v>
      </c>
      <c r="G25" s="29">
        <f>obliczenia!K15</f>
        <v>114823.25933940886</v>
      </c>
      <c r="H25" s="29">
        <f>obliczenia!L15</f>
        <v>172234.88900911328</v>
      </c>
      <c r="I25" s="30">
        <f>obliczenia!M15</f>
        <v>229646.51867881772</v>
      </c>
    </row>
    <row r="26" spans="4:9">
      <c r="D26" s="34">
        <v>31</v>
      </c>
      <c r="E26" s="29">
        <f>obliczenia!I16</f>
        <v>32195.716124330444</v>
      </c>
      <c r="F26" s="29">
        <f>obliczenia!J16</f>
        <v>64391.432248660887</v>
      </c>
      <c r="G26" s="29">
        <f>obliczenia!K16</f>
        <v>128782.86449732177</v>
      </c>
      <c r="H26" s="29">
        <f>obliczenia!L16</f>
        <v>193174.29674598266</v>
      </c>
      <c r="I26" s="30">
        <f>obliczenia!M16</f>
        <v>257565.72899464355</v>
      </c>
    </row>
    <row r="27" spans="4:9">
      <c r="D27" s="34">
        <v>32</v>
      </c>
      <c r="E27" s="29">
        <f>obliczenia!I17</f>
        <v>35674.958469817881</v>
      </c>
      <c r="F27" s="29">
        <f>obliczenia!J17</f>
        <v>71349.916939635761</v>
      </c>
      <c r="G27" s="29">
        <f>obliczenia!K17</f>
        <v>142699.83387927152</v>
      </c>
      <c r="H27" s="29">
        <f>obliczenia!L17</f>
        <v>214049.75081890728</v>
      </c>
      <c r="I27" s="30">
        <f>obliczenia!M17</f>
        <v>285399.66775854304</v>
      </c>
    </row>
    <row r="28" spans="4:9">
      <c r="D28" s="34">
        <v>33</v>
      </c>
      <c r="E28" s="29">
        <f>obliczenia!I18</f>
        <v>39152.59982402216</v>
      </c>
      <c r="F28" s="29">
        <f>obliczenia!J18</f>
        <v>78305.199648044319</v>
      </c>
      <c r="G28" s="29">
        <f>obliczenia!K18</f>
        <v>156610.39929608864</v>
      </c>
      <c r="H28" s="29">
        <f>obliczenia!L18</f>
        <v>234915.598944133</v>
      </c>
      <c r="I28" s="30">
        <f>obliczenia!M18</f>
        <v>313220.79859217728</v>
      </c>
    </row>
    <row r="29" spans="4:9">
      <c r="D29" s="34">
        <v>34</v>
      </c>
      <c r="E29" s="29">
        <f>obliczenia!I19</f>
        <v>42636.653075790331</v>
      </c>
      <c r="F29" s="29">
        <f>obliczenia!J19</f>
        <v>85273.306151580662</v>
      </c>
      <c r="G29" s="29">
        <f>obliczenia!K19</f>
        <v>170546.61230316132</v>
      </c>
      <c r="H29" s="29">
        <f>obliczenia!L19</f>
        <v>255819.91845474206</v>
      </c>
      <c r="I29" s="30">
        <f>obliczenia!M19</f>
        <v>341093.22460632265</v>
      </c>
    </row>
    <row r="30" spans="4:9">
      <c r="D30" s="34">
        <v>35</v>
      </c>
      <c r="E30" s="29">
        <f>obliczenia!I20</f>
        <v>46134.281056152031</v>
      </c>
      <c r="F30" s="29">
        <f>obliczenia!J20</f>
        <v>92268.562112304062</v>
      </c>
      <c r="G30" s="29">
        <f>obliczenia!K20</f>
        <v>184537.12422460812</v>
      </c>
      <c r="H30" s="29">
        <f>obliczenia!L20</f>
        <v>276805.68633691227</v>
      </c>
      <c r="I30" s="30">
        <f>obliczenia!M20</f>
        <v>369074.24844921625</v>
      </c>
    </row>
    <row r="31" spans="4:9">
      <c r="D31" s="34">
        <v>36</v>
      </c>
      <c r="E31" s="29">
        <f>obliczenia!I21</f>
        <v>49651.950350213818</v>
      </c>
      <c r="F31" s="29">
        <f>obliczenia!J21</f>
        <v>99303.900700427635</v>
      </c>
      <c r="G31" s="29">
        <f>obliczenia!K21</f>
        <v>198607.80140085527</v>
      </c>
      <c r="H31" s="29">
        <f>obliczenia!L21</f>
        <v>297911.70210128301</v>
      </c>
      <c r="I31" s="30">
        <f>obliczenia!M21</f>
        <v>397215.60280171054</v>
      </c>
    </row>
    <row r="32" spans="4:9">
      <c r="D32" s="34">
        <v>37</v>
      </c>
      <c r="E32" s="29">
        <f>obliczenia!I22</f>
        <v>53195.553941682912</v>
      </c>
      <c r="F32" s="29">
        <f>obliczenia!J22</f>
        <v>106391.10788336582</v>
      </c>
      <c r="G32" s="29">
        <f>obliczenia!K22</f>
        <v>212782.21576673165</v>
      </c>
      <c r="H32" s="29">
        <f>obliczenia!L22</f>
        <v>319173.32365009759</v>
      </c>
      <c r="I32" s="30">
        <f>obliczenia!M22</f>
        <v>425564.4315334633</v>
      </c>
    </row>
    <row r="33" spans="4:9">
      <c r="D33" s="34">
        <v>38</v>
      </c>
      <c r="E33" s="29">
        <f>obliczenia!I23</f>
        <v>56770.509990682513</v>
      </c>
      <c r="F33" s="29">
        <f>obliczenia!J23</f>
        <v>113541.01998136503</v>
      </c>
      <c r="G33" s="29">
        <f>obliczenia!K23</f>
        <v>227082.03996273005</v>
      </c>
      <c r="H33" s="29">
        <f>obliczenia!L23</f>
        <v>340623.05994409521</v>
      </c>
      <c r="I33" s="30">
        <f>obliczenia!M23</f>
        <v>454164.0799254601</v>
      </c>
    </row>
    <row r="34" spans="4:9">
      <c r="D34" s="34">
        <v>39</v>
      </c>
      <c r="E34" s="29">
        <f>obliczenia!I24</f>
        <v>60381.842133262449</v>
      </c>
      <c r="F34" s="29">
        <f>obliczenia!J24</f>
        <v>120763.6842665249</v>
      </c>
      <c r="G34" s="29">
        <f>obliczenia!K24</f>
        <v>241527.3685330498</v>
      </c>
      <c r="H34" s="29">
        <f>obliczenia!L24</f>
        <v>362291.05279957486</v>
      </c>
      <c r="I34" s="30">
        <f>obliczenia!M24</f>
        <v>483054.73706609959</v>
      </c>
    </row>
    <row r="35" spans="4:9">
      <c r="D35" s="34">
        <v>40</v>
      </c>
      <c r="E35" s="29">
        <f>obliczenia!I25</f>
        <v>64113.610408816225</v>
      </c>
      <c r="F35" s="29">
        <f>obliczenia!J25</f>
        <v>128227.22081763245</v>
      </c>
      <c r="G35" s="29">
        <f>obliczenia!K25</f>
        <v>256454.4416352649</v>
      </c>
      <c r="H35" s="29">
        <f>obliczenia!L25</f>
        <v>384681.66245289752</v>
      </c>
      <c r="I35" s="30">
        <f>obliczenia!M25</f>
        <v>512908.8832705298</v>
      </c>
    </row>
    <row r="36" spans="4:9">
      <c r="D36" s="34">
        <v>41</v>
      </c>
      <c r="E36" s="29">
        <f>obliczenia!I26</f>
        <v>67932.270578165087</v>
      </c>
      <c r="F36" s="29">
        <f>obliczenia!J26</f>
        <v>135864.54115633017</v>
      </c>
      <c r="G36" s="29">
        <f>obliczenia!K26</f>
        <v>271729.08231266035</v>
      </c>
      <c r="H36" s="29">
        <f>obliczenia!L26</f>
        <v>407593.62346899067</v>
      </c>
      <c r="I36" s="30">
        <f>obliczenia!M26</f>
        <v>543458.1646253207</v>
      </c>
    </row>
    <row r="37" spans="4:9">
      <c r="D37" s="34">
        <v>42</v>
      </c>
      <c r="E37" s="29">
        <f>obliczenia!I27</f>
        <v>71839.994938653894</v>
      </c>
      <c r="F37" s="29">
        <f>obliczenia!J27</f>
        <v>143679.98987730779</v>
      </c>
      <c r="G37" s="29">
        <f>obliczenia!K27</f>
        <v>287359.97975461558</v>
      </c>
      <c r="H37" s="29">
        <f>obliczenia!L27</f>
        <v>431039.9696319236</v>
      </c>
      <c r="I37" s="30">
        <f>obliczenia!M27</f>
        <v>574719.95950923115</v>
      </c>
    </row>
    <row r="38" spans="4:9">
      <c r="D38" s="34">
        <v>43</v>
      </c>
      <c r="E38" s="29">
        <f>obliczenia!I28</f>
        <v>75839.010095061167</v>
      </c>
      <c r="F38" s="29">
        <f>obliczenia!J28</f>
        <v>151678.02019012233</v>
      </c>
      <c r="G38" s="29">
        <f>obliczenia!K28</f>
        <v>303356.04038024467</v>
      </c>
      <c r="H38" s="29">
        <f>obliczenia!L28</f>
        <v>455034.06057036726</v>
      </c>
      <c r="I38" s="30">
        <f>obliczenia!M28</f>
        <v>606712.08076048933</v>
      </c>
    </row>
    <row r="39" spans="4:9">
      <c r="D39" s="34">
        <v>44</v>
      </c>
      <c r="E39" s="29">
        <f>obliczenia!I29</f>
        <v>79931.59831728485</v>
      </c>
      <c r="F39" s="29">
        <f>obliczenia!J29</f>
        <v>159863.1966345697</v>
      </c>
      <c r="G39" s="29">
        <f>obliczenia!K29</f>
        <v>319726.3932691394</v>
      </c>
      <c r="H39" s="29">
        <f>obliczenia!L29</f>
        <v>479589.58990370942</v>
      </c>
      <c r="I39" s="30">
        <f>obliczenia!M29</f>
        <v>639452.7865382788</v>
      </c>
    </row>
    <row r="40" spans="4:9">
      <c r="D40" s="34">
        <v>45</v>
      </c>
      <c r="E40" s="29">
        <f>obliczenia!I30</f>
        <v>84120.098931970366</v>
      </c>
      <c r="F40" s="29">
        <f>obliczenia!J30</f>
        <v>168240.19786394073</v>
      </c>
      <c r="G40" s="29">
        <f>obliczenia!K30</f>
        <v>336480.39572788146</v>
      </c>
      <c r="H40" s="29">
        <f>obliczenia!L30</f>
        <v>504720.59359182254</v>
      </c>
      <c r="I40" s="30">
        <f>obliczenia!M30</f>
        <v>672960.79145576293</v>
      </c>
    </row>
    <row r="41" spans="4:9">
      <c r="D41" s="34">
        <v>46</v>
      </c>
      <c r="E41" s="29">
        <f>obliczenia!I31</f>
        <v>88490.902377531544</v>
      </c>
      <c r="F41" s="29">
        <f>obliczenia!J31</f>
        <v>176981.80475506309</v>
      </c>
      <c r="G41" s="29">
        <f>obliczenia!K31</f>
        <v>353963.60951012617</v>
      </c>
      <c r="H41" s="29">
        <f>obliczenia!L31</f>
        <v>530945.41426518967</v>
      </c>
      <c r="I41" s="30">
        <f>obliczenia!M31</f>
        <v>707927.21902025235</v>
      </c>
    </row>
    <row r="42" spans="4:9">
      <c r="D42" s="34">
        <v>47</v>
      </c>
      <c r="E42" s="29">
        <f>obliczenia!I32</f>
        <v>93054.773449980974</v>
      </c>
      <c r="F42" s="29">
        <f>obliczenia!J32</f>
        <v>186109.54689996195</v>
      </c>
      <c r="G42" s="29">
        <f>obliczenia!K32</f>
        <v>372219.0937999239</v>
      </c>
      <c r="H42" s="29">
        <f>obliczenia!L32</f>
        <v>558328.64069988625</v>
      </c>
      <c r="I42" s="30">
        <f>obliczenia!M32</f>
        <v>744438.18759984779</v>
      </c>
    </row>
    <row r="43" spans="4:9">
      <c r="D43" s="34">
        <v>48</v>
      </c>
      <c r="E43" s="29">
        <f>obliczenia!I33</f>
        <v>97823.521968386616</v>
      </c>
      <c r="F43" s="29">
        <f>obliczenia!J33</f>
        <v>195647.04393677323</v>
      </c>
      <c r="G43" s="29">
        <f>obliczenia!K33</f>
        <v>391294.08787354646</v>
      </c>
      <c r="H43" s="29">
        <f>obliczenia!L33</f>
        <v>586941.13181032019</v>
      </c>
      <c r="I43" s="30">
        <f>obliczenia!M33</f>
        <v>782588.17574709293</v>
      </c>
    </row>
    <row r="44" spans="4:9">
      <c r="D44" s="34">
        <v>49</v>
      </c>
      <c r="E44" s="29">
        <f>obliczenia!I34</f>
        <v>102810.1638401274</v>
      </c>
      <c r="F44" s="29">
        <f>obliczenia!J34</f>
        <v>205620.32768025479</v>
      </c>
      <c r="G44" s="29">
        <f>obliczenia!K34</f>
        <v>411240.65536050958</v>
      </c>
      <c r="H44" s="29">
        <f>obliczenia!L34</f>
        <v>616860.98304076481</v>
      </c>
      <c r="I44" s="30">
        <f>obliczenia!M34</f>
        <v>822481.31072101917</v>
      </c>
    </row>
    <row r="45" spans="4:9">
      <c r="D45" s="34">
        <v>50</v>
      </c>
      <c r="E45" s="29">
        <f>obliczenia!I35</f>
        <v>108029.11682088894</v>
      </c>
      <c r="F45" s="29">
        <f>obliczenia!J35</f>
        <v>216058.23364177789</v>
      </c>
      <c r="G45" s="29">
        <f>obliczenia!K35</f>
        <v>432116.46728355577</v>
      </c>
      <c r="H45" s="29">
        <f>obliczenia!L35</f>
        <v>648174.70092533401</v>
      </c>
      <c r="I45" s="30">
        <f>obliczenia!M35</f>
        <v>864232.93456711154</v>
      </c>
    </row>
    <row r="46" spans="4:9">
      <c r="D46" s="34">
        <v>51</v>
      </c>
      <c r="E46" s="29">
        <f>obliczenia!I36</f>
        <v>113470.15276052959</v>
      </c>
      <c r="F46" s="29">
        <f>obliczenia!J36</f>
        <v>226940.30552105917</v>
      </c>
      <c r="G46" s="29">
        <f>obliczenia!K36</f>
        <v>453880.61104211834</v>
      </c>
      <c r="H46" s="29">
        <f>obliczenia!L36</f>
        <v>680820.91656317783</v>
      </c>
      <c r="I46" s="30">
        <f>obliczenia!M36</f>
        <v>907761.22208423668</v>
      </c>
    </row>
    <row r="47" spans="4:9">
      <c r="D47" s="34">
        <v>52</v>
      </c>
      <c r="E47" s="29">
        <f>obliczenia!I37</f>
        <v>119078.6900594594</v>
      </c>
      <c r="F47" s="29">
        <f>obliczenia!J37</f>
        <v>238157.38011891881</v>
      </c>
      <c r="G47" s="29">
        <f>obliczenia!K37</f>
        <v>476314.76023783762</v>
      </c>
      <c r="H47" s="29">
        <f>obliczenia!L37</f>
        <v>714472.14035675675</v>
      </c>
      <c r="I47" s="30">
        <f>obliczenia!M37</f>
        <v>952629.52047567524</v>
      </c>
    </row>
    <row r="48" spans="4:9">
      <c r="D48" s="34">
        <v>53</v>
      </c>
      <c r="E48" s="29">
        <f>obliczenia!I38</f>
        <v>124860.49002470053</v>
      </c>
      <c r="F48" s="29">
        <f>obliczenia!J38</f>
        <v>249720.98004940106</v>
      </c>
      <c r="G48" s="29">
        <f>obliczenia!K38</f>
        <v>499441.96009880211</v>
      </c>
      <c r="H48" s="29">
        <f>obliczenia!L38</f>
        <v>749162.94014820352</v>
      </c>
      <c r="I48" s="30">
        <f>obliczenia!M38</f>
        <v>998883.92019760422</v>
      </c>
    </row>
    <row r="49" spans="2:9">
      <c r="D49" s="34">
        <v>54</v>
      </c>
      <c r="E49" s="29">
        <f>obliczenia!I39</f>
        <v>130821.57905541525</v>
      </c>
      <c r="F49" s="29">
        <f>obliczenia!J39</f>
        <v>261643.1581108305</v>
      </c>
      <c r="G49" s="29">
        <f>obliczenia!K39</f>
        <v>523286.31622166099</v>
      </c>
      <c r="H49" s="29">
        <f>obliczenia!L39</f>
        <v>784929.47433249187</v>
      </c>
      <c r="I49" s="30">
        <f>obliczenia!M39</f>
        <v>1046572.632443322</v>
      </c>
    </row>
    <row r="50" spans="2:9">
      <c r="D50" s="34">
        <v>55</v>
      </c>
      <c r="E50" s="29">
        <f>obliczenia!I40</f>
        <v>136968.26801331111</v>
      </c>
      <c r="F50" s="29">
        <f>obliczenia!J40</f>
        <v>273936.53602662223</v>
      </c>
      <c r="G50" s="29">
        <f>obliczenia!K40</f>
        <v>547873.07205324445</v>
      </c>
      <c r="H50" s="29">
        <f>obliczenia!L40</f>
        <v>821809.60807986697</v>
      </c>
      <c r="I50" s="30">
        <f>obliczenia!M40</f>
        <v>1095746.1441064889</v>
      </c>
    </row>
    <row r="51" spans="2:9">
      <c r="D51" s="34">
        <v>56</v>
      </c>
      <c r="E51" s="29">
        <f>obliczenia!I41</f>
        <v>143307.17379934667</v>
      </c>
      <c r="F51" s="29">
        <f>obliczenia!J41</f>
        <v>286614.34759869333</v>
      </c>
      <c r="G51" s="29">
        <f>obliczenia!K41</f>
        <v>573228.69519738667</v>
      </c>
      <c r="H51" s="29">
        <f>obliczenia!L41</f>
        <v>859843.04279608047</v>
      </c>
      <c r="I51" s="30">
        <f>obliczenia!M41</f>
        <v>1146457.3903947733</v>
      </c>
    </row>
    <row r="52" spans="2:9">
      <c r="D52" s="34">
        <v>57</v>
      </c>
      <c r="E52" s="29">
        <f>obliczenia!I42</f>
        <v>149885.51609352487</v>
      </c>
      <c r="F52" s="29">
        <f>obliczenia!J42</f>
        <v>299771.03218704974</v>
      </c>
      <c r="G52" s="29">
        <f>obliczenia!K42</f>
        <v>599542.06437409949</v>
      </c>
      <c r="H52" s="29">
        <f>obliczenia!L42</f>
        <v>899313.09656114969</v>
      </c>
      <c r="I52" s="30">
        <f>obliczenia!M42</f>
        <v>1199084.128748199</v>
      </c>
    </row>
    <row r="53" spans="2:9">
      <c r="D53" s="34">
        <v>58</v>
      </c>
      <c r="E53" s="29">
        <f>obliczenia!I43</f>
        <v>156641.74114993156</v>
      </c>
      <c r="F53" s="29">
        <f>obliczenia!J43</f>
        <v>313283.48229986313</v>
      </c>
      <c r="G53" s="29">
        <f>obliczenia!K43</f>
        <v>626566.96459972626</v>
      </c>
      <c r="H53" s="29">
        <f>obliczenia!L43</f>
        <v>939850.44689958973</v>
      </c>
      <c r="I53" s="30">
        <f>obliczenia!M43</f>
        <v>1253133.9291994525</v>
      </c>
    </row>
    <row r="54" spans="2:9">
      <c r="D54" s="34">
        <v>59</v>
      </c>
      <c r="E54" s="29">
        <f>obliczenia!I44</f>
        <v>163580.29603762241</v>
      </c>
      <c r="F54" s="29">
        <f>obliczenia!J44</f>
        <v>327160.59207524481</v>
      </c>
      <c r="G54" s="29">
        <f>obliczenia!K44</f>
        <v>654321.18415048963</v>
      </c>
      <c r="H54" s="29">
        <f>obliczenia!L44</f>
        <v>981481.77622573485</v>
      </c>
      <c r="I54" s="30">
        <f>obliczenia!M44</f>
        <v>1308642.3683009793</v>
      </c>
    </row>
    <row r="55" spans="2:9">
      <c r="D55" s="34">
        <v>60</v>
      </c>
      <c r="E55" s="29">
        <f>obliczenia!I45</f>
        <v>170705.73900237956</v>
      </c>
      <c r="F55" s="29">
        <f>obliczenia!J45</f>
        <v>341411.47800475912</v>
      </c>
      <c r="G55" s="29">
        <f>obliczenia!K45</f>
        <v>682822.95600951824</v>
      </c>
      <c r="H55" s="29">
        <f>obliczenia!L45</f>
        <v>1024234.4340142778</v>
      </c>
      <c r="I55" s="30">
        <f>obliczenia!M45</f>
        <v>1365645.9120190365</v>
      </c>
    </row>
    <row r="56" spans="2:9">
      <c r="D56" s="34">
        <v>61</v>
      </c>
      <c r="E56" s="29">
        <f>obliczenia!I46</f>
        <v>178022.74224612967</v>
      </c>
      <c r="F56" s="29">
        <f>obliczenia!J46</f>
        <v>356045.48449225933</v>
      </c>
      <c r="G56" s="29">
        <f>obliczenia!K46</f>
        <v>712090.96898451867</v>
      </c>
      <c r="H56" s="29">
        <f>obliczenia!L46</f>
        <v>1068136.4534767782</v>
      </c>
      <c r="I56" s="30">
        <f>obliczenia!M46</f>
        <v>1424181.9379690373</v>
      </c>
    </row>
    <row r="57" spans="2:9">
      <c r="D57" s="34">
        <v>62</v>
      </c>
      <c r="E57" s="29">
        <f>obliczenia!I47</f>
        <v>185536.09477584754</v>
      </c>
      <c r="F57" s="29">
        <f>obliczenia!J47</f>
        <v>371072.18955169508</v>
      </c>
      <c r="G57" s="29">
        <f>obliczenia!K47</f>
        <v>742144.37910339015</v>
      </c>
      <c r="H57" s="29">
        <f>obliczenia!L47</f>
        <v>1113216.5686550853</v>
      </c>
      <c r="I57" s="30">
        <f>obliczenia!M47</f>
        <v>1484288.7582067803</v>
      </c>
    </row>
    <row r="58" spans="2:9">
      <c r="D58" s="34">
        <v>63</v>
      </c>
      <c r="E58" s="29">
        <f>obliczenia!I48</f>
        <v>193250.70532368237</v>
      </c>
      <c r="F58" s="29">
        <f>obliczenia!J48</f>
        <v>386501.41064736474</v>
      </c>
      <c r="G58" s="29">
        <f>obliczenia!K48</f>
        <v>773002.82129472948</v>
      </c>
      <c r="H58" s="29">
        <f>obliczenia!L48</f>
        <v>1159504.2319420944</v>
      </c>
      <c r="I58" s="30">
        <f>obliczenia!M48</f>
        <v>1546005.642589459</v>
      </c>
    </row>
    <row r="59" spans="2:9">
      <c r="D59" s="34">
        <v>64</v>
      </c>
      <c r="E59" s="29">
        <f>obliczenia!I49</f>
        <v>201158.18113521306</v>
      </c>
      <c r="F59" s="29">
        <f>obliczenia!J49</f>
        <v>402316.36227042612</v>
      </c>
      <c r="G59" s="29">
        <f>obliczenia!K49</f>
        <v>804632.72454085224</v>
      </c>
      <c r="H59" s="29">
        <f>obliczenia!L49</f>
        <v>1206949.0868112787</v>
      </c>
      <c r="I59" s="30">
        <f>obliczenia!M49</f>
        <v>1609265.4490817045</v>
      </c>
    </row>
    <row r="60" spans="2:9" ht="15" thickBot="1">
      <c r="D60" s="35">
        <v>65</v>
      </c>
      <c r="E60" s="31">
        <f>obliczenia!I50</f>
        <v>209263.34384203202</v>
      </c>
      <c r="F60" s="31">
        <f>obliczenia!J50</f>
        <v>418526.68768406403</v>
      </c>
      <c r="G60" s="31">
        <f>obliczenia!K50</f>
        <v>837053.37536812807</v>
      </c>
      <c r="H60" s="31">
        <f>obliczenia!L50</f>
        <v>1255580.0630521926</v>
      </c>
      <c r="I60" s="32">
        <f>obliczenia!M50</f>
        <v>1674106.7507362561</v>
      </c>
    </row>
    <row r="63" spans="2:9">
      <c r="B63" t="s">
        <v>50</v>
      </c>
    </row>
  </sheetData>
  <sheetProtection algorithmName="SHA-512" hashValue="6EUfOK4vhwnsthinh8K1p8uRxW+OS30YkdSRFQOKLp/QjsFWyVmAUbAZAfg2SepDJcTe07sFr+pput/0ppEncg==" saltValue="jOF+XsL3b1YfKA8ZxUA+hw==" spinCount="100000" sheet="1" objects="1" scenarios="1"/>
  <mergeCells count="14">
    <mergeCell ref="B2:E2"/>
    <mergeCell ref="B3:D3"/>
    <mergeCell ref="B4:D4"/>
    <mergeCell ref="B6:D6"/>
    <mergeCell ref="B7:D7"/>
    <mergeCell ref="B8:D8"/>
    <mergeCell ref="B13:D13"/>
    <mergeCell ref="D15:I15"/>
    <mergeCell ref="B9:D9"/>
    <mergeCell ref="B11:D11"/>
    <mergeCell ref="B10:D10"/>
    <mergeCell ref="E11:I11"/>
    <mergeCell ref="E10:I10"/>
    <mergeCell ref="B12:D12"/>
  </mergeCells>
  <conditionalFormatting sqref="D32">
    <cfRule type="expression" priority="1">
      <formula>$E$4</formula>
    </cfRule>
  </conditionalFormatting>
  <dataValidations count="2">
    <dataValidation type="whole" allowBlank="1" showInputMessage="1" showErrorMessage="1" errorTitle="Błędny wiek" error="Podaj wiek między 22, a 65 lat" sqref="E4" xr:uid="{55908917-FBA2-45D0-A7DE-DAB5C766F741}">
      <formula1>22</formula1>
      <formula2>65</formula2>
    </dataValidation>
    <dataValidation type="decimal" allowBlank="1" showInputMessage="1" showErrorMessage="1" errorTitle="Podaj wynagrodzenie netto" sqref="E3" xr:uid="{61989557-C2E0-422C-AA6A-FE090EC5DC7F}">
      <formula1>0</formula1>
      <formula2>1000000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F4898-0130-426E-90DB-5872E54C963F}">
  <dimension ref="B2:L43"/>
  <sheetViews>
    <sheetView showGridLines="0" topLeftCell="A13" zoomScale="70" zoomScaleNormal="70" workbookViewId="0">
      <selection activeCell="R40" sqref="R40"/>
    </sheetView>
  </sheetViews>
  <sheetFormatPr defaultRowHeight="14.4"/>
  <sheetData>
    <row r="2" spans="2:12">
      <c r="B2" s="87" t="s">
        <v>46</v>
      </c>
      <c r="C2" s="87"/>
      <c r="D2" s="87"/>
      <c r="E2" s="87"/>
      <c r="F2" s="87"/>
      <c r="G2" s="87"/>
      <c r="H2" s="87"/>
      <c r="I2" s="87"/>
    </row>
    <row r="3" spans="2:12">
      <c r="B3" s="87"/>
      <c r="C3" s="87"/>
      <c r="D3" s="87"/>
      <c r="E3" s="87"/>
      <c r="F3" s="87"/>
      <c r="G3" s="87"/>
      <c r="H3" s="87"/>
      <c r="I3" s="87"/>
    </row>
    <row r="4" spans="2:12">
      <c r="B4" s="87"/>
      <c r="C4" s="87"/>
      <c r="D4" s="87"/>
      <c r="E4" s="87"/>
      <c r="F4" s="87"/>
      <c r="G4" s="87"/>
      <c r="H4" s="87"/>
      <c r="I4" s="87"/>
    </row>
    <row r="5" spans="2:12">
      <c r="B5" s="87"/>
      <c r="C5" s="87"/>
      <c r="D5" s="87"/>
      <c r="E5" s="87"/>
      <c r="F5" s="87"/>
      <c r="G5" s="87"/>
      <c r="H5" s="87"/>
      <c r="I5" s="87"/>
    </row>
    <row r="7" spans="2:12">
      <c r="B7" s="84" t="s">
        <v>44</v>
      </c>
      <c r="C7" s="85"/>
      <c r="D7" s="85"/>
      <c r="E7" s="85"/>
      <c r="F7" s="85"/>
      <c r="G7" s="85"/>
      <c r="H7" s="85"/>
      <c r="I7" s="85"/>
      <c r="J7" s="85"/>
      <c r="K7" s="85"/>
      <c r="L7" s="85"/>
    </row>
    <row r="8" spans="2:12"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</row>
    <row r="9" spans="2:12"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</row>
    <row r="10" spans="2:12"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</row>
    <row r="11" spans="2:12" ht="14.4" customHeight="1">
      <c r="B11" s="86" t="s">
        <v>42</v>
      </c>
      <c r="C11" s="86"/>
      <c r="D11" s="86"/>
      <c r="E11" s="86"/>
      <c r="F11" s="58"/>
      <c r="G11" s="58"/>
      <c r="H11" s="58"/>
      <c r="I11" s="58"/>
      <c r="J11" s="58"/>
      <c r="K11" s="58"/>
      <c r="L11" s="58"/>
    </row>
    <row r="12" spans="2:12">
      <c r="B12" s="86"/>
      <c r="C12" s="86"/>
      <c r="D12" s="86"/>
      <c r="E12" s="86"/>
      <c r="F12" s="58"/>
      <c r="G12" s="58"/>
      <c r="H12" s="58"/>
      <c r="I12" s="58"/>
      <c r="J12" s="58"/>
      <c r="K12" s="58"/>
      <c r="L12" s="58"/>
    </row>
    <row r="13" spans="2:12">
      <c r="B13" s="86"/>
      <c r="C13" s="86"/>
      <c r="D13" s="86"/>
      <c r="E13" s="86"/>
      <c r="F13" s="58"/>
      <c r="G13" s="58"/>
      <c r="H13" s="58"/>
      <c r="I13" s="58"/>
      <c r="J13" s="58"/>
      <c r="K13" s="58"/>
      <c r="L13" s="58"/>
    </row>
    <row r="14" spans="2:12">
      <c r="B14" s="86"/>
      <c r="C14" s="86"/>
      <c r="D14" s="86"/>
      <c r="E14" s="86"/>
      <c r="F14" s="58"/>
      <c r="G14" s="58"/>
      <c r="H14" s="58"/>
      <c r="I14" s="58"/>
      <c r="J14" s="58"/>
      <c r="K14" s="58"/>
      <c r="L14" s="58"/>
    </row>
    <row r="15" spans="2:12">
      <c r="B15" s="86"/>
      <c r="C15" s="86"/>
      <c r="D15" s="86"/>
      <c r="E15" s="86"/>
      <c r="F15" s="58"/>
      <c r="G15" s="58"/>
      <c r="H15" s="58"/>
      <c r="I15" s="58"/>
      <c r="J15" s="58"/>
      <c r="K15" s="58"/>
      <c r="L15" s="58"/>
    </row>
    <row r="16" spans="2:12">
      <c r="B16" s="86"/>
      <c r="C16" s="86"/>
      <c r="D16" s="86"/>
      <c r="E16" s="86"/>
      <c r="F16" s="58"/>
      <c r="G16" s="58"/>
      <c r="H16" s="58"/>
      <c r="I16" s="58"/>
      <c r="J16" s="58"/>
      <c r="K16" s="58"/>
      <c r="L16" s="58"/>
    </row>
    <row r="17" spans="2:12">
      <c r="B17" s="86"/>
      <c r="C17" s="86"/>
      <c r="D17" s="86"/>
      <c r="E17" s="86"/>
      <c r="F17" s="58"/>
      <c r="G17" s="58"/>
      <c r="H17" s="58"/>
      <c r="I17" s="58"/>
      <c r="J17" s="58"/>
      <c r="K17" s="58"/>
      <c r="L17" s="58"/>
    </row>
    <row r="18" spans="2:12">
      <c r="B18" s="86"/>
      <c r="C18" s="86"/>
      <c r="D18" s="86"/>
      <c r="E18" s="86"/>
      <c r="F18" s="58"/>
      <c r="G18" s="58"/>
      <c r="H18" s="58"/>
      <c r="I18" s="58"/>
      <c r="J18" s="58"/>
      <c r="K18" s="58"/>
      <c r="L18" s="58"/>
    </row>
    <row r="19" spans="2:12">
      <c r="B19" s="86"/>
      <c r="C19" s="86"/>
      <c r="D19" s="86"/>
      <c r="E19" s="86"/>
      <c r="F19" s="58"/>
      <c r="G19" s="58"/>
      <c r="H19" s="58"/>
      <c r="I19" s="58"/>
      <c r="J19" s="58"/>
      <c r="K19" s="58"/>
      <c r="L19" s="58"/>
    </row>
    <row r="20" spans="2:12">
      <c r="B20" s="86"/>
      <c r="C20" s="86"/>
      <c r="D20" s="86"/>
      <c r="E20" s="86"/>
      <c r="F20" s="58"/>
      <c r="G20" s="58"/>
      <c r="H20" s="58"/>
      <c r="I20" s="58"/>
      <c r="J20" s="58"/>
      <c r="K20" s="58"/>
      <c r="L20" s="58"/>
    </row>
    <row r="21" spans="2:12">
      <c r="B21" s="86"/>
      <c r="C21" s="86"/>
      <c r="D21" s="86"/>
      <c r="E21" s="86"/>
      <c r="F21" s="58"/>
      <c r="G21" s="58"/>
      <c r="H21" s="58"/>
      <c r="I21" s="58"/>
      <c r="J21" s="58"/>
      <c r="K21" s="58"/>
      <c r="L21" s="58"/>
    </row>
    <row r="22" spans="2:12">
      <c r="B22" s="86" t="s">
        <v>43</v>
      </c>
      <c r="C22" s="86"/>
      <c r="D22" s="86"/>
      <c r="E22" s="86"/>
      <c r="F22" s="58"/>
      <c r="G22" s="58"/>
      <c r="H22" s="58"/>
      <c r="I22" s="58"/>
      <c r="J22" s="58"/>
      <c r="K22" s="58"/>
      <c r="L22" s="58"/>
    </row>
    <row r="23" spans="2:12">
      <c r="B23" s="86"/>
      <c r="C23" s="86"/>
      <c r="D23" s="86"/>
      <c r="E23" s="86"/>
      <c r="F23" s="58"/>
      <c r="G23" s="58"/>
      <c r="H23" s="58"/>
      <c r="I23" s="58"/>
      <c r="J23" s="58"/>
      <c r="K23" s="58"/>
      <c r="L23" s="58"/>
    </row>
    <row r="24" spans="2:12">
      <c r="B24" s="86"/>
      <c r="C24" s="86"/>
      <c r="D24" s="86"/>
      <c r="E24" s="86"/>
      <c r="F24" s="58"/>
      <c r="G24" s="58"/>
      <c r="H24" s="58"/>
      <c r="I24" s="58"/>
      <c r="J24" s="58"/>
      <c r="K24" s="58"/>
      <c r="L24" s="58"/>
    </row>
    <row r="25" spans="2:12">
      <c r="B25" s="86"/>
      <c r="C25" s="86"/>
      <c r="D25" s="86"/>
      <c r="E25" s="86"/>
      <c r="F25" s="58"/>
      <c r="G25" s="58"/>
      <c r="H25" s="58"/>
      <c r="I25" s="58"/>
      <c r="J25" s="58"/>
      <c r="K25" s="58"/>
      <c r="L25" s="58"/>
    </row>
    <row r="26" spans="2:12">
      <c r="B26" s="86"/>
      <c r="C26" s="86"/>
      <c r="D26" s="86"/>
      <c r="E26" s="86"/>
      <c r="F26" s="58"/>
      <c r="G26" s="58"/>
      <c r="H26" s="58"/>
      <c r="I26" s="58"/>
      <c r="J26" s="58"/>
      <c r="K26" s="58"/>
      <c r="L26" s="58"/>
    </row>
    <row r="27" spans="2:12">
      <c r="B27" s="86"/>
      <c r="C27" s="86"/>
      <c r="D27" s="86"/>
      <c r="E27" s="86"/>
      <c r="F27" s="58"/>
      <c r="G27" s="58"/>
      <c r="H27" s="58"/>
      <c r="I27" s="58"/>
      <c r="J27" s="58"/>
      <c r="K27" s="58"/>
      <c r="L27" s="58"/>
    </row>
    <row r="28" spans="2:12">
      <c r="B28" s="86"/>
      <c r="C28" s="86"/>
      <c r="D28" s="86"/>
      <c r="E28" s="86"/>
      <c r="F28" s="58"/>
      <c r="G28" s="58"/>
      <c r="H28" s="58"/>
      <c r="I28" s="58"/>
      <c r="J28" s="58"/>
      <c r="K28" s="58"/>
      <c r="L28" s="58"/>
    </row>
    <row r="29" spans="2:12">
      <c r="B29" s="86"/>
      <c r="C29" s="86"/>
      <c r="D29" s="86"/>
      <c r="E29" s="86"/>
      <c r="F29" s="58"/>
      <c r="G29" s="58"/>
      <c r="H29" s="58"/>
      <c r="I29" s="58"/>
      <c r="J29" s="58"/>
      <c r="K29" s="58"/>
      <c r="L29" s="58"/>
    </row>
    <row r="30" spans="2:12">
      <c r="B30" s="86"/>
      <c r="C30" s="86"/>
      <c r="D30" s="86"/>
      <c r="E30" s="86"/>
      <c r="F30" s="58"/>
      <c r="G30" s="58"/>
      <c r="H30" s="58"/>
      <c r="I30" s="58"/>
      <c r="J30" s="58"/>
      <c r="K30" s="58"/>
      <c r="L30" s="58"/>
    </row>
    <row r="31" spans="2:12">
      <c r="B31" s="86"/>
      <c r="C31" s="86"/>
      <c r="D31" s="86"/>
      <c r="E31" s="86"/>
      <c r="F31" s="58"/>
      <c r="G31" s="58"/>
      <c r="H31" s="58"/>
      <c r="I31" s="58"/>
      <c r="J31" s="58"/>
      <c r="K31" s="58"/>
      <c r="L31" s="58"/>
    </row>
    <row r="32" spans="2:12">
      <c r="B32" s="86"/>
      <c r="C32" s="86"/>
      <c r="D32" s="86"/>
      <c r="E32" s="86"/>
      <c r="F32" s="58"/>
      <c r="G32" s="58"/>
      <c r="H32" s="58"/>
      <c r="I32" s="58"/>
      <c r="J32" s="58"/>
      <c r="K32" s="58"/>
      <c r="L32" s="58"/>
    </row>
    <row r="33" spans="2:12">
      <c r="B33" s="86" t="s">
        <v>45</v>
      </c>
      <c r="C33" s="86"/>
      <c r="D33" s="86"/>
      <c r="E33" s="86"/>
      <c r="F33" s="58"/>
      <c r="G33" s="58"/>
      <c r="H33" s="58"/>
      <c r="I33" s="58"/>
      <c r="J33" s="58"/>
      <c r="K33" s="58"/>
      <c r="L33" s="58"/>
    </row>
    <row r="34" spans="2:12">
      <c r="B34" s="86"/>
      <c r="C34" s="86"/>
      <c r="D34" s="86"/>
      <c r="E34" s="86"/>
      <c r="F34" s="58"/>
      <c r="G34" s="58"/>
      <c r="H34" s="58"/>
      <c r="I34" s="58"/>
      <c r="J34" s="58"/>
      <c r="K34" s="58"/>
      <c r="L34" s="58"/>
    </row>
    <row r="35" spans="2:12">
      <c r="B35" s="86"/>
      <c r="C35" s="86"/>
      <c r="D35" s="86"/>
      <c r="E35" s="86"/>
      <c r="F35" s="58"/>
      <c r="G35" s="58"/>
      <c r="H35" s="58"/>
      <c r="I35" s="58"/>
      <c r="J35" s="58"/>
      <c r="K35" s="58"/>
      <c r="L35" s="58"/>
    </row>
    <row r="36" spans="2:12">
      <c r="B36" s="86"/>
      <c r="C36" s="86"/>
      <c r="D36" s="86"/>
      <c r="E36" s="86"/>
      <c r="F36" s="58"/>
      <c r="G36" s="58"/>
      <c r="H36" s="58"/>
      <c r="I36" s="58"/>
      <c r="J36" s="58"/>
      <c r="K36" s="58"/>
      <c r="L36" s="58"/>
    </row>
    <row r="37" spans="2:12">
      <c r="B37" s="86"/>
      <c r="C37" s="86"/>
      <c r="D37" s="86"/>
      <c r="E37" s="86"/>
      <c r="F37" s="58"/>
      <c r="G37" s="58"/>
      <c r="H37" s="58"/>
      <c r="I37" s="58"/>
      <c r="J37" s="58"/>
      <c r="K37" s="58"/>
      <c r="L37" s="58"/>
    </row>
    <row r="38" spans="2:12">
      <c r="B38" s="86"/>
      <c r="C38" s="86"/>
      <c r="D38" s="86"/>
      <c r="E38" s="86"/>
      <c r="F38" s="58"/>
      <c r="G38" s="58"/>
      <c r="H38" s="58"/>
      <c r="I38" s="58"/>
      <c r="J38" s="58"/>
      <c r="K38" s="58"/>
      <c r="L38" s="58"/>
    </row>
    <row r="39" spans="2:12">
      <c r="B39" s="86"/>
      <c r="C39" s="86"/>
      <c r="D39" s="86"/>
      <c r="E39" s="86"/>
      <c r="F39" s="58"/>
      <c r="G39" s="58"/>
      <c r="H39" s="58"/>
      <c r="I39" s="58"/>
      <c r="J39" s="58"/>
      <c r="K39" s="58"/>
      <c r="L39" s="58"/>
    </row>
    <row r="40" spans="2:12">
      <c r="B40" s="86"/>
      <c r="C40" s="86"/>
      <c r="D40" s="86"/>
      <c r="E40" s="86"/>
      <c r="F40" s="58"/>
      <c r="G40" s="58"/>
      <c r="H40" s="58"/>
      <c r="I40" s="58"/>
      <c r="J40" s="58"/>
      <c r="K40" s="58"/>
      <c r="L40" s="58"/>
    </row>
    <row r="41" spans="2:12">
      <c r="B41" s="86"/>
      <c r="C41" s="86"/>
      <c r="D41" s="86"/>
      <c r="E41" s="86"/>
      <c r="F41" s="58"/>
      <c r="G41" s="58"/>
      <c r="H41" s="58"/>
      <c r="I41" s="58"/>
      <c r="J41" s="58"/>
      <c r="K41" s="58"/>
      <c r="L41" s="58"/>
    </row>
    <row r="42" spans="2:12">
      <c r="B42" s="86"/>
      <c r="C42" s="86"/>
      <c r="D42" s="86"/>
      <c r="E42" s="86"/>
      <c r="F42" s="58"/>
      <c r="G42" s="58"/>
      <c r="H42" s="58"/>
      <c r="I42" s="58"/>
      <c r="J42" s="58"/>
      <c r="K42" s="58"/>
      <c r="L42" s="58"/>
    </row>
    <row r="43" spans="2:12">
      <c r="B43" s="86"/>
      <c r="C43" s="86"/>
      <c r="D43" s="86"/>
      <c r="E43" s="86"/>
      <c r="F43" s="58"/>
      <c r="G43" s="58"/>
      <c r="H43" s="58"/>
      <c r="I43" s="58"/>
      <c r="J43" s="58"/>
      <c r="K43" s="58"/>
      <c r="L43" s="58"/>
    </row>
  </sheetData>
  <sheetProtection algorithmName="SHA-512" hashValue="q2s9ocy3eMvvHhyXmNIbFurI9A0O79LMALukwboXzuCaEMypsPlic68KxDlt+vWJVUDa15vPzSlfkWW1/hBPMg==" saltValue="2/rbrkAj2pHuBX+3ujQ5Tw==" spinCount="100000" sheet="1" objects="1" scenarios="1"/>
  <mergeCells count="5">
    <mergeCell ref="B7:L10"/>
    <mergeCell ref="B11:E21"/>
    <mergeCell ref="B22:E32"/>
    <mergeCell ref="B33:E43"/>
    <mergeCell ref="B2:I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1ED9A-797F-4ABE-958A-A898B1B343D4}">
  <dimension ref="B3:N51"/>
  <sheetViews>
    <sheetView workbookViewId="0">
      <selection activeCell="B7" sqref="B7:L10"/>
    </sheetView>
  </sheetViews>
  <sheetFormatPr defaultRowHeight="14.4"/>
  <cols>
    <col min="2" max="2" width="26.6640625" customWidth="1"/>
    <col min="3" max="3" width="11.44140625" bestFit="1" customWidth="1"/>
    <col min="4" max="5" width="9.44140625" bestFit="1" customWidth="1"/>
    <col min="6" max="8" width="10.44140625" bestFit="1" customWidth="1"/>
    <col min="9" max="11" width="11.88671875" bestFit="1" customWidth="1"/>
    <col min="12" max="13" width="12.88671875" bestFit="1" customWidth="1"/>
  </cols>
  <sheetData>
    <row r="3" spans="2:14" s="6" customFormat="1" ht="28.8">
      <c r="B3" s="6" t="s">
        <v>11</v>
      </c>
      <c r="C3" s="10">
        <f>'Ile powinieneś mieć'!E3</f>
        <v>5000</v>
      </c>
    </row>
    <row r="4" spans="2:14" ht="15" thickBot="1">
      <c r="B4" t="s">
        <v>9</v>
      </c>
      <c r="C4">
        <f>'Ile powinieneś mieć'!E4</f>
        <v>40</v>
      </c>
    </row>
    <row r="5" spans="2:14" ht="15" thickBot="1">
      <c r="D5" s="88" t="s">
        <v>15</v>
      </c>
      <c r="E5" s="89"/>
      <c r="F5" s="89"/>
      <c r="G5" s="89"/>
      <c r="H5" s="89"/>
      <c r="I5" s="90" t="s">
        <v>15</v>
      </c>
      <c r="J5" s="91"/>
      <c r="K5" s="91"/>
      <c r="L5" s="91"/>
      <c r="M5" s="92"/>
    </row>
    <row r="6" spans="2:14">
      <c r="B6" t="s">
        <v>13</v>
      </c>
      <c r="C6" t="s">
        <v>14</v>
      </c>
      <c r="D6" s="52">
        <v>0.05</v>
      </c>
      <c r="E6" s="53">
        <v>0.1</v>
      </c>
      <c r="F6" s="53">
        <v>0.2</v>
      </c>
      <c r="G6" s="53">
        <v>0.3</v>
      </c>
      <c r="H6" s="54">
        <v>0.4</v>
      </c>
      <c r="I6" s="55">
        <v>0.05</v>
      </c>
      <c r="J6" s="56">
        <v>0.1</v>
      </c>
      <c r="K6" s="56">
        <v>0.2</v>
      </c>
      <c r="L6" s="56">
        <v>0.3</v>
      </c>
      <c r="M6" s="57">
        <v>0.4</v>
      </c>
    </row>
    <row r="7" spans="2:14">
      <c r="B7">
        <v>22</v>
      </c>
      <c r="C7" s="13">
        <f>VLOOKUP(B7,założenia!$H$3:$J$46,3,FALSE)*$C$3/(VLOOKUP($C$4,założenia!$H$3:$J$46,3,FALSE))</f>
        <v>3206.3197026022303</v>
      </c>
      <c r="D7" s="15">
        <f>D$6*$C7*12/założenia!$K3</f>
        <v>2748.274030801912</v>
      </c>
      <c r="E7" s="15">
        <f>E$6*$C7*12/założenia!$K3</f>
        <v>5496.548061603824</v>
      </c>
      <c r="F7" s="15">
        <f>F$6*$C7*12/założenia!$K3</f>
        <v>10993.096123207648</v>
      </c>
      <c r="G7" s="15">
        <f>G$6*$C7*12/założenia!$K3</f>
        <v>16489.64418481147</v>
      </c>
      <c r="H7" s="15">
        <f>H$6*$C7*12/założenia!$K3</f>
        <v>21986.192246415296</v>
      </c>
      <c r="I7" s="15">
        <f>D7</f>
        <v>2748.274030801912</v>
      </c>
      <c r="J7" s="14">
        <f t="shared" ref="J7" si="0">E7</f>
        <v>5496.548061603824</v>
      </c>
      <c r="K7" s="14">
        <f t="shared" ref="K7" si="1">F7</f>
        <v>10993.096123207648</v>
      </c>
      <c r="L7" s="14">
        <f t="shared" ref="L7" si="2">G7</f>
        <v>16489.64418481147</v>
      </c>
      <c r="M7" s="16">
        <f t="shared" ref="M7" si="3">H7</f>
        <v>21986.192246415296</v>
      </c>
      <c r="N7" s="28"/>
    </row>
    <row r="8" spans="2:14">
      <c r="B8">
        <v>23</v>
      </c>
      <c r="C8" s="13">
        <f>VLOOKUP(B8,założenia!$H$3:$J$46,3,FALSE)*$C$3/(VLOOKUP($C$4,założenia!$H$3:$J$46,3,FALSE))</f>
        <v>3206.3197026022303</v>
      </c>
      <c r="D8" s="15">
        <f>D$6*$C8*12/założenia!$K4</f>
        <v>2748.274030801912</v>
      </c>
      <c r="E8" s="15">
        <f>E$6*$C8*12/założenia!$K4</f>
        <v>5496.548061603824</v>
      </c>
      <c r="F8" s="15">
        <f>F$6*$C8*12/założenia!$K4</f>
        <v>10993.096123207648</v>
      </c>
      <c r="G8" s="15">
        <f>G$6*$C8*12/założenia!$K4</f>
        <v>16489.64418481147</v>
      </c>
      <c r="H8" s="15">
        <f>H$6*$C8*12/założenia!$K4</f>
        <v>21986.192246415296</v>
      </c>
      <c r="I8" s="15">
        <f>I7*1.025+D8</f>
        <v>5565.2549123738718</v>
      </c>
      <c r="J8" s="15">
        <f t="shared" ref="J8:M8" si="4">J7*1.025+E8</f>
        <v>11130.509824747744</v>
      </c>
      <c r="K8" s="15">
        <f t="shared" si="4"/>
        <v>22261.019649495487</v>
      </c>
      <c r="L8" s="15">
        <f t="shared" si="4"/>
        <v>33391.529474243231</v>
      </c>
      <c r="M8" s="15">
        <f t="shared" si="4"/>
        <v>44522.039298990974</v>
      </c>
      <c r="N8" s="28"/>
    </row>
    <row r="9" spans="2:14">
      <c r="B9">
        <v>24</v>
      </c>
      <c r="C9" s="13">
        <f>VLOOKUP(B9,założenia!$H$3:$J$46,3,FALSE)*$C$3/(VLOOKUP($C$4,założenia!$H$3:$J$46,3,FALSE))</f>
        <v>3206.3197026022303</v>
      </c>
      <c r="D9" s="15">
        <f>D$6*$C9*12/założenia!$K5</f>
        <v>2748.274030801912</v>
      </c>
      <c r="E9" s="15">
        <f>E$6*$C9*12/założenia!$K5</f>
        <v>5496.548061603824</v>
      </c>
      <c r="F9" s="15">
        <f>F$6*$C9*12/założenia!$K5</f>
        <v>10993.096123207648</v>
      </c>
      <c r="G9" s="15">
        <f>G$6*$C9*12/założenia!$K5</f>
        <v>16489.64418481147</v>
      </c>
      <c r="H9" s="15">
        <f>H$6*$C9*12/założenia!$K5</f>
        <v>21986.192246415296</v>
      </c>
      <c r="I9" s="15">
        <f t="shared" ref="I9:I51" si="5">I8*1.025+D9</f>
        <v>8452.6603159851293</v>
      </c>
      <c r="J9" s="15">
        <f t="shared" ref="J9:J51" si="6">J8*1.025+E9</f>
        <v>16905.320631970259</v>
      </c>
      <c r="K9" s="15">
        <f t="shared" ref="K9:K51" si="7">K8*1.025+F9</f>
        <v>33810.641263940517</v>
      </c>
      <c r="L9" s="15">
        <f t="shared" ref="L9:L51" si="8">L8*1.025+G9</f>
        <v>50715.961895910776</v>
      </c>
      <c r="M9" s="15">
        <f t="shared" ref="M9:M51" si="9">M8*1.025+H9</f>
        <v>67621.282527881034</v>
      </c>
      <c r="N9" s="28"/>
    </row>
    <row r="10" spans="2:14">
      <c r="B10">
        <v>25</v>
      </c>
      <c r="C10" s="13">
        <f>VLOOKUP(B10,założenia!$H$3:$J$46,3,FALSE)*$C$3/(VLOOKUP($C$4,założenia!$H$3:$J$46,3,FALSE))</f>
        <v>3392.1933085501864</v>
      </c>
      <c r="D10" s="15">
        <f>D$6*$C10*12/założenia!$K6</f>
        <v>2907.5942644715888</v>
      </c>
      <c r="E10" s="15">
        <f>E$6*$C10*12/założenia!$K6</f>
        <v>5815.1885289431775</v>
      </c>
      <c r="F10" s="15">
        <f>F$6*$C10*12/założenia!$K6</f>
        <v>11630.377057886355</v>
      </c>
      <c r="G10" s="15">
        <f>G$6*$C10*12/założenia!$K6</f>
        <v>17445.565586829533</v>
      </c>
      <c r="H10" s="15">
        <f>H$6*$C10*12/założenia!$K6</f>
        <v>23260.75411577271</v>
      </c>
      <c r="I10" s="15">
        <f t="shared" si="5"/>
        <v>11571.571088356346</v>
      </c>
      <c r="J10" s="15">
        <f t="shared" si="6"/>
        <v>23143.142176712692</v>
      </c>
      <c r="K10" s="15">
        <f t="shared" si="7"/>
        <v>46286.284353425384</v>
      </c>
      <c r="L10" s="15">
        <f t="shared" si="8"/>
        <v>69429.42653013808</v>
      </c>
      <c r="M10" s="15">
        <f t="shared" si="9"/>
        <v>92572.568706850769</v>
      </c>
      <c r="N10" s="28"/>
    </row>
    <row r="11" spans="2:14">
      <c r="B11">
        <v>26</v>
      </c>
      <c r="C11" s="13">
        <f>VLOOKUP(B11,założenia!$H$3:$J$46,3,FALSE)*$C$3/(VLOOKUP($C$4,założenia!$H$3:$J$46,3,FALSE))</f>
        <v>3578.0669144981412</v>
      </c>
      <c r="D11" s="15">
        <f>D$6*$C11*12/założenia!$K7</f>
        <v>3066.9144981412646</v>
      </c>
      <c r="E11" s="15">
        <f>E$6*$C11*12/założenia!$K7</f>
        <v>6133.8289962825293</v>
      </c>
      <c r="F11" s="15">
        <f>F$6*$C11*12/założenia!$K7</f>
        <v>12267.657992565059</v>
      </c>
      <c r="G11" s="15">
        <f>G$6*$C11*12/założenia!$K7</f>
        <v>18401.486988847584</v>
      </c>
      <c r="H11" s="15">
        <f>H$6*$C11*12/założenia!$K7</f>
        <v>24535.315985130117</v>
      </c>
      <c r="I11" s="15">
        <f t="shared" si="5"/>
        <v>14927.774863706518</v>
      </c>
      <c r="J11" s="15">
        <f t="shared" si="6"/>
        <v>29855.549727413036</v>
      </c>
      <c r="K11" s="15">
        <f t="shared" si="7"/>
        <v>59711.099454826071</v>
      </c>
      <c r="L11" s="15">
        <f t="shared" si="8"/>
        <v>89566.649182239111</v>
      </c>
      <c r="M11" s="15">
        <f t="shared" si="9"/>
        <v>119422.19890965214</v>
      </c>
      <c r="N11" s="28"/>
    </row>
    <row r="12" spans="2:14">
      <c r="B12">
        <v>27</v>
      </c>
      <c r="C12" s="13">
        <f>VLOOKUP(B12,założenia!$H$3:$J$46,3,FALSE)*$C$3/(VLOOKUP($C$4,założenia!$H$3:$J$46,3,FALSE))</f>
        <v>3763.9405204460968</v>
      </c>
      <c r="D12" s="15">
        <f>D$6*$C12*12/założenia!$K8</f>
        <v>3011.1524163568774</v>
      </c>
      <c r="E12" s="15">
        <f>E$6*$C12*12/założenia!$K8</f>
        <v>6022.3048327137549</v>
      </c>
      <c r="F12" s="15">
        <f>F$6*$C12*12/założenia!$K8</f>
        <v>12044.60966542751</v>
      </c>
      <c r="G12" s="15">
        <f>G$6*$C12*12/założenia!$K8</f>
        <v>18066.914498141265</v>
      </c>
      <c r="H12" s="15">
        <f>H$6*$C12*12/założenia!$K8</f>
        <v>24089.21933085502</v>
      </c>
      <c r="I12" s="15">
        <f t="shared" si="5"/>
        <v>18312.121651656056</v>
      </c>
      <c r="J12" s="15">
        <f t="shared" si="6"/>
        <v>36624.243303312112</v>
      </c>
      <c r="K12" s="15">
        <f t="shared" si="7"/>
        <v>73248.486606624225</v>
      </c>
      <c r="L12" s="15">
        <f t="shared" si="8"/>
        <v>109872.72990993634</v>
      </c>
      <c r="M12" s="15">
        <f t="shared" si="9"/>
        <v>146496.97321324845</v>
      </c>
      <c r="N12" s="28"/>
    </row>
    <row r="13" spans="2:14">
      <c r="B13">
        <v>28</v>
      </c>
      <c r="C13" s="13">
        <f>VLOOKUP(B13,założenia!$H$3:$J$46,3,FALSE)*$C$3/(VLOOKUP($C$4,założenia!$H$3:$J$46,3,FALSE))</f>
        <v>3949.8141263940524</v>
      </c>
      <c r="D13" s="15">
        <f>D$6*$C13*12/założenia!$K9</f>
        <v>2962.3605947955393</v>
      </c>
      <c r="E13" s="15">
        <f>E$6*$C13*12/założenia!$K9</f>
        <v>5924.7211895910787</v>
      </c>
      <c r="F13" s="15">
        <f>F$6*$C13*12/założenia!$K9</f>
        <v>11849.442379182157</v>
      </c>
      <c r="G13" s="15">
        <f>G$6*$C13*12/założenia!$K9</f>
        <v>17774.163568773238</v>
      </c>
      <c r="H13" s="15">
        <f>H$6*$C13*12/założenia!$K9</f>
        <v>23698.884758364315</v>
      </c>
      <c r="I13" s="15">
        <f t="shared" si="5"/>
        <v>21732.285287742998</v>
      </c>
      <c r="J13" s="15">
        <f t="shared" si="6"/>
        <v>43464.570575485996</v>
      </c>
      <c r="K13" s="15">
        <f t="shared" si="7"/>
        <v>86929.141150971991</v>
      </c>
      <c r="L13" s="15">
        <f t="shared" si="8"/>
        <v>130393.71172645797</v>
      </c>
      <c r="M13" s="15">
        <f t="shared" si="9"/>
        <v>173858.28230194398</v>
      </c>
      <c r="N13" s="28"/>
    </row>
    <row r="14" spans="2:14">
      <c r="B14">
        <v>29</v>
      </c>
      <c r="C14" s="13">
        <f>VLOOKUP(B14,założenia!$H$3:$J$46,3,FALSE)*$C$3/(VLOOKUP($C$4,założenia!$H$3:$J$46,3,FALSE))</f>
        <v>4135.6877323420085</v>
      </c>
      <c r="D14" s="15">
        <f>D$6*$C14*12/założenia!$K10</f>
        <v>2919.3089875355354</v>
      </c>
      <c r="E14" s="15">
        <f>E$6*$C14*12/założenia!$K10</f>
        <v>5838.6179750710708</v>
      </c>
      <c r="F14" s="15">
        <f>F$6*$C14*12/założenia!$K10</f>
        <v>11677.235950142142</v>
      </c>
      <c r="G14" s="15">
        <f>G$6*$C14*12/założenia!$K10</f>
        <v>17515.85392521321</v>
      </c>
      <c r="H14" s="15">
        <f>H$6*$C14*12/założenia!$K10</f>
        <v>23354.471900284283</v>
      </c>
      <c r="I14" s="15">
        <f t="shared" si="5"/>
        <v>25194.901407472105</v>
      </c>
      <c r="J14" s="15">
        <f t="shared" si="6"/>
        <v>50389.802814944211</v>
      </c>
      <c r="K14" s="15">
        <f t="shared" si="7"/>
        <v>100779.60562988842</v>
      </c>
      <c r="L14" s="15">
        <f t="shared" si="8"/>
        <v>151169.40844483263</v>
      </c>
      <c r="M14" s="15">
        <f t="shared" si="9"/>
        <v>201559.21125977684</v>
      </c>
      <c r="N14" s="28"/>
    </row>
    <row r="15" spans="2:14">
      <c r="B15">
        <v>30</v>
      </c>
      <c r="C15" s="13">
        <f>VLOOKUP(B15,założenia!$H$3:$J$46,3,FALSE)*$C$3/(VLOOKUP($C$4,założenia!$H$3:$J$46,3,FALSE))</f>
        <v>4321.5613382899637</v>
      </c>
      <c r="D15" s="15">
        <f>D$6*$C15*12/założenia!$K11</f>
        <v>2881.040892193309</v>
      </c>
      <c r="E15" s="15">
        <f>E$6*$C15*12/założenia!$K11</f>
        <v>5762.081784386618</v>
      </c>
      <c r="F15" s="15">
        <f>F$6*$C15*12/założenia!$K11</f>
        <v>11524.163568773236</v>
      </c>
      <c r="G15" s="15">
        <f>G$6*$C15*12/założenia!$K11</f>
        <v>17286.245353159851</v>
      </c>
      <c r="H15" s="15">
        <f>H$6*$C15*12/założenia!$K11</f>
        <v>23048.327137546472</v>
      </c>
      <c r="I15" s="15">
        <f t="shared" si="5"/>
        <v>28705.814834852215</v>
      </c>
      <c r="J15" s="15">
        <f t="shared" si="6"/>
        <v>57411.629669704431</v>
      </c>
      <c r="K15" s="15">
        <f t="shared" si="7"/>
        <v>114823.25933940886</v>
      </c>
      <c r="L15" s="15">
        <f t="shared" si="8"/>
        <v>172234.88900911328</v>
      </c>
      <c r="M15" s="15">
        <f t="shared" si="9"/>
        <v>229646.51867881772</v>
      </c>
      <c r="N15" s="28"/>
    </row>
    <row r="16" spans="2:14">
      <c r="B16">
        <v>31</v>
      </c>
      <c r="C16" s="13">
        <f>VLOOKUP(B16,założenia!$H$3:$J$46,3,FALSE)*$C$3/(VLOOKUP($C$4,założenia!$H$3:$J$46,3,FALSE))</f>
        <v>4389.4052044609662</v>
      </c>
      <c r="D16" s="15">
        <f>D$6*$C16*12/założenia!$K12</f>
        <v>2772.2559186069257</v>
      </c>
      <c r="E16" s="15">
        <f>E$6*$C16*12/założenia!$K12</f>
        <v>5544.5118372138513</v>
      </c>
      <c r="F16" s="15">
        <f>F$6*$C16*12/założenia!$K12</f>
        <v>11089.023674427703</v>
      </c>
      <c r="G16" s="15">
        <f>G$6*$C16*12/założenia!$K12</f>
        <v>16633.535511641549</v>
      </c>
      <c r="H16" s="15">
        <f>H$6*$C16*12/założenia!$K12</f>
        <v>22178.047348855405</v>
      </c>
      <c r="I16" s="15">
        <f t="shared" si="5"/>
        <v>32195.716124330444</v>
      </c>
      <c r="J16" s="15">
        <f t="shared" si="6"/>
        <v>64391.432248660887</v>
      </c>
      <c r="K16" s="15">
        <f t="shared" si="7"/>
        <v>128782.86449732177</v>
      </c>
      <c r="L16" s="15">
        <f t="shared" si="8"/>
        <v>193174.29674598266</v>
      </c>
      <c r="M16" s="15">
        <f t="shared" si="9"/>
        <v>257565.72899464355</v>
      </c>
    </row>
    <row r="17" spans="2:13">
      <c r="B17">
        <v>32</v>
      </c>
      <c r="C17" s="13">
        <f>VLOOKUP(B17,założenia!$H$3:$J$46,3,FALSE)*$C$3/(VLOOKUP($C$4,założenia!$H$3:$J$46,3,FALSE))</f>
        <v>4457.2490706319695</v>
      </c>
      <c r="D17" s="15">
        <f>D$6*$C17*12/założenia!$K13</f>
        <v>2674.3494423791813</v>
      </c>
      <c r="E17" s="15">
        <f>E$6*$C17*12/założenia!$K13</f>
        <v>5348.6988847583625</v>
      </c>
      <c r="F17" s="15">
        <f>F$6*$C17*12/założenia!$K13</f>
        <v>10697.397769516725</v>
      </c>
      <c r="G17" s="15">
        <f>G$6*$C17*12/założenia!$K13</f>
        <v>16046.096654275087</v>
      </c>
      <c r="H17" s="15">
        <f>H$6*$C17*12/założenia!$K13</f>
        <v>21394.79553903345</v>
      </c>
      <c r="I17" s="15">
        <f t="shared" si="5"/>
        <v>35674.958469817881</v>
      </c>
      <c r="J17" s="15">
        <f t="shared" si="6"/>
        <v>71349.916939635761</v>
      </c>
      <c r="K17" s="15">
        <f t="shared" si="7"/>
        <v>142699.83387927152</v>
      </c>
      <c r="L17" s="15">
        <f t="shared" si="8"/>
        <v>214049.75081890728</v>
      </c>
      <c r="M17" s="15">
        <f t="shared" si="9"/>
        <v>285399.66775854304</v>
      </c>
    </row>
    <row r="18" spans="2:13">
      <c r="B18">
        <v>33</v>
      </c>
      <c r="C18" s="13">
        <f>VLOOKUP(B18,założenia!$H$3:$J$46,3,FALSE)*$C$3/(VLOOKUP($C$4,założenia!$H$3:$J$46,3,FALSE))</f>
        <v>4525.0929368029729</v>
      </c>
      <c r="D18" s="15">
        <f>D$6*$C18*12/założenia!$K14</f>
        <v>2585.7673924588412</v>
      </c>
      <c r="E18" s="15">
        <f>E$6*$C18*12/założenia!$K14</f>
        <v>5171.5347849176824</v>
      </c>
      <c r="F18" s="15">
        <f>F$6*$C18*12/założenia!$K14</f>
        <v>10343.069569835365</v>
      </c>
      <c r="G18" s="15">
        <f>G$6*$C18*12/założenia!$K14</f>
        <v>15514.604354753044</v>
      </c>
      <c r="H18" s="15">
        <f>H$6*$C18*12/założenia!$K14</f>
        <v>20686.139139670729</v>
      </c>
      <c r="I18" s="15">
        <f t="shared" si="5"/>
        <v>39152.59982402216</v>
      </c>
      <c r="J18" s="15">
        <f t="shared" si="6"/>
        <v>78305.199648044319</v>
      </c>
      <c r="K18" s="15">
        <f t="shared" si="7"/>
        <v>156610.39929608864</v>
      </c>
      <c r="L18" s="15">
        <f t="shared" si="8"/>
        <v>234915.598944133</v>
      </c>
      <c r="M18" s="15">
        <f t="shared" si="9"/>
        <v>313220.79859217728</v>
      </c>
    </row>
    <row r="19" spans="2:13">
      <c r="B19">
        <v>34</v>
      </c>
      <c r="C19" s="13">
        <f>VLOOKUP(B19,założenia!$H$3:$J$46,3,FALSE)*$C$3/(VLOOKUP($C$4,założenia!$H$3:$J$46,3,FALSE))</f>
        <v>4592.9368029739762</v>
      </c>
      <c r="D19" s="15">
        <f>D$6*$C19*12/założenia!$K15</f>
        <v>2505.2382561676227</v>
      </c>
      <c r="E19" s="15">
        <f>E$6*$C19*12/założenia!$K15</f>
        <v>5010.4765123352454</v>
      </c>
      <c r="F19" s="15">
        <f>F$6*$C19*12/założenia!$K15</f>
        <v>10020.953024670491</v>
      </c>
      <c r="G19" s="15">
        <f>G$6*$C19*12/założenia!$K15</f>
        <v>15031.429537005737</v>
      </c>
      <c r="H19" s="15">
        <f>H$6*$C19*12/założenia!$K15</f>
        <v>20041.906049340982</v>
      </c>
      <c r="I19" s="15">
        <f t="shared" si="5"/>
        <v>42636.653075790331</v>
      </c>
      <c r="J19" s="15">
        <f t="shared" si="6"/>
        <v>85273.306151580662</v>
      </c>
      <c r="K19" s="15">
        <f t="shared" si="7"/>
        <v>170546.61230316132</v>
      </c>
      <c r="L19" s="15">
        <f t="shared" si="8"/>
        <v>255819.91845474206</v>
      </c>
      <c r="M19" s="15">
        <f t="shared" si="9"/>
        <v>341093.22460632265</v>
      </c>
    </row>
    <row r="20" spans="2:13">
      <c r="B20">
        <v>35</v>
      </c>
      <c r="C20" s="13">
        <f>VLOOKUP(B20,założenia!$H$3:$J$46,3,FALSE)*$C$3/(VLOOKUP($C$4,założenia!$H$3:$J$46,3,FALSE))</f>
        <v>4660.7806691449796</v>
      </c>
      <c r="D20" s="15">
        <f>D$6*$C20*12/założenia!$K16</f>
        <v>2431.7116534669453</v>
      </c>
      <c r="E20" s="15">
        <f>E$6*$C20*12/założenia!$K16</f>
        <v>4863.4233069338907</v>
      </c>
      <c r="F20" s="15">
        <f>F$6*$C20*12/założenia!$K16</f>
        <v>9726.8466138677813</v>
      </c>
      <c r="G20" s="15">
        <f>G$6*$C20*12/założenia!$K16</f>
        <v>14590.269920801671</v>
      </c>
      <c r="H20" s="15">
        <f>H$6*$C20*12/założenia!$K16</f>
        <v>19453.693227735563</v>
      </c>
      <c r="I20" s="15">
        <f t="shared" si="5"/>
        <v>46134.281056152031</v>
      </c>
      <c r="J20" s="15">
        <f t="shared" si="6"/>
        <v>92268.562112304062</v>
      </c>
      <c r="K20" s="15">
        <f t="shared" si="7"/>
        <v>184537.12422460812</v>
      </c>
      <c r="L20" s="15">
        <f t="shared" si="8"/>
        <v>276805.68633691227</v>
      </c>
      <c r="M20" s="15">
        <f t="shared" si="9"/>
        <v>369074.24844921625</v>
      </c>
    </row>
    <row r="21" spans="2:13">
      <c r="B21">
        <v>36</v>
      </c>
      <c r="C21" s="13">
        <f>VLOOKUP(B21,założenia!$H$3:$J$46,3,FALSE)*$C$3/(VLOOKUP($C$4,założenia!$H$3:$J$46,3,FALSE))</f>
        <v>4728.6245353159829</v>
      </c>
      <c r="D21" s="15">
        <f>D$6*$C21*12/założenia!$K17</f>
        <v>2364.312267657991</v>
      </c>
      <c r="E21" s="15">
        <f>E$6*$C21*12/założenia!$K17</f>
        <v>4728.624535315982</v>
      </c>
      <c r="F21" s="15">
        <f>F$6*$C21*12/założenia!$K17</f>
        <v>9457.2490706319641</v>
      </c>
      <c r="G21" s="15">
        <f>G$6*$C21*12/założenia!$K17</f>
        <v>14185.873605947943</v>
      </c>
      <c r="H21" s="15">
        <f>H$6*$C21*12/założenia!$K17</f>
        <v>18914.498141263928</v>
      </c>
      <c r="I21" s="15">
        <f t="shared" si="5"/>
        <v>49651.950350213818</v>
      </c>
      <c r="J21" s="15">
        <f t="shared" si="6"/>
        <v>99303.900700427635</v>
      </c>
      <c r="K21" s="15">
        <f t="shared" si="7"/>
        <v>198607.80140085527</v>
      </c>
      <c r="L21" s="15">
        <f t="shared" si="8"/>
        <v>297911.70210128301</v>
      </c>
      <c r="M21" s="15">
        <f t="shared" si="9"/>
        <v>397215.60280171054</v>
      </c>
    </row>
    <row r="22" spans="2:13">
      <c r="B22">
        <v>37</v>
      </c>
      <c r="C22" s="13">
        <f>VLOOKUP(B22,założenia!$H$3:$J$46,3,FALSE)*$C$3/(VLOOKUP($C$4,założenia!$H$3:$J$46,3,FALSE))</f>
        <v>4796.4684014869863</v>
      </c>
      <c r="D22" s="15">
        <f>D$6*$C22*12/założenia!$K18</f>
        <v>2302.3048327137526</v>
      </c>
      <c r="E22" s="15">
        <f>E$6*$C22*12/założenia!$K18</f>
        <v>4604.6096654275052</v>
      </c>
      <c r="F22" s="15">
        <f>F$6*$C22*12/założenia!$K18</f>
        <v>9209.2193308550104</v>
      </c>
      <c r="G22" s="15">
        <f>G$6*$C22*12/założenia!$K18</f>
        <v>13813.828996282515</v>
      </c>
      <c r="H22" s="15">
        <f>H$6*$C22*12/założenia!$K18</f>
        <v>18418.438661710021</v>
      </c>
      <c r="I22" s="15">
        <f t="shared" si="5"/>
        <v>53195.553941682912</v>
      </c>
      <c r="J22" s="15">
        <f t="shared" si="6"/>
        <v>106391.10788336582</v>
      </c>
      <c r="K22" s="15">
        <f t="shared" si="7"/>
        <v>212782.21576673165</v>
      </c>
      <c r="L22" s="15">
        <f t="shared" si="8"/>
        <v>319173.32365009759</v>
      </c>
      <c r="M22" s="15">
        <f t="shared" si="9"/>
        <v>425564.4315334633</v>
      </c>
    </row>
    <row r="23" spans="2:13">
      <c r="B23">
        <v>38</v>
      </c>
      <c r="C23" s="13">
        <f>VLOOKUP(B23,założenia!$H$3:$J$46,3,FALSE)*$C$3/(VLOOKUP($C$4,założenia!$H$3:$J$46,3,FALSE))</f>
        <v>4864.3122676579897</v>
      </c>
      <c r="D23" s="15">
        <f>D$6*$C23*12/założenia!$K19</f>
        <v>2245.0672004575331</v>
      </c>
      <c r="E23" s="15">
        <f>E$6*$C23*12/założenia!$K19</f>
        <v>4490.1344009150662</v>
      </c>
      <c r="F23" s="15">
        <f>F$6*$C23*12/założenia!$K19</f>
        <v>8980.2688018301324</v>
      </c>
      <c r="G23" s="15">
        <f>G$6*$C23*12/założenia!$K19</f>
        <v>13470.403202745198</v>
      </c>
      <c r="H23" s="15">
        <f>H$6*$C23*12/założenia!$K19</f>
        <v>17960.537603660265</v>
      </c>
      <c r="I23" s="15">
        <f t="shared" si="5"/>
        <v>56770.509990682513</v>
      </c>
      <c r="J23" s="15">
        <f t="shared" si="6"/>
        <v>113541.01998136503</v>
      </c>
      <c r="K23" s="15">
        <f t="shared" si="7"/>
        <v>227082.03996273005</v>
      </c>
      <c r="L23" s="15">
        <f t="shared" si="8"/>
        <v>340623.05994409521</v>
      </c>
      <c r="M23" s="15">
        <f t="shared" si="9"/>
        <v>454164.0799254601</v>
      </c>
    </row>
    <row r="24" spans="2:13">
      <c r="B24">
        <v>39</v>
      </c>
      <c r="C24" s="13">
        <f>VLOOKUP(B24,założenia!$H$3:$J$46,3,FALSE)*$C$3/(VLOOKUP($C$4,założenia!$H$3:$J$46,3,FALSE))</f>
        <v>4932.156133828993</v>
      </c>
      <c r="D24" s="15">
        <f>D$6*$C24*12/założenia!$K20</f>
        <v>2192.0693928128849</v>
      </c>
      <c r="E24" s="15">
        <f>E$6*$C24*12/założenia!$K20</f>
        <v>4384.1387856257697</v>
      </c>
      <c r="F24" s="15">
        <f>F$6*$C24*12/założenia!$K20</f>
        <v>8768.2775712515395</v>
      </c>
      <c r="G24" s="15">
        <f>G$6*$C24*12/założenia!$K20</f>
        <v>13152.416356877309</v>
      </c>
      <c r="H24" s="15">
        <f>H$6*$C24*12/założenia!$K20</f>
        <v>17536.555142503079</v>
      </c>
      <c r="I24" s="15">
        <f t="shared" si="5"/>
        <v>60381.842133262449</v>
      </c>
      <c r="J24" s="15">
        <f t="shared" si="6"/>
        <v>120763.6842665249</v>
      </c>
      <c r="K24" s="15">
        <f t="shared" si="7"/>
        <v>241527.3685330498</v>
      </c>
      <c r="L24" s="15">
        <f t="shared" si="8"/>
        <v>362291.05279957486</v>
      </c>
      <c r="M24" s="15">
        <f t="shared" si="9"/>
        <v>483054.73706609959</v>
      </c>
    </row>
    <row r="25" spans="2:13">
      <c r="B25">
        <v>40</v>
      </c>
      <c r="C25" s="13">
        <f>VLOOKUP(B25,założenia!$H$3:$J$46,3,FALSE)*$C$3/(VLOOKUP($C$4,założenia!$H$3:$J$46,3,FALSE))</f>
        <v>5000</v>
      </c>
      <c r="D25" s="15">
        <f>D$6*$C25*12/założenia!$K21</f>
        <v>2222.2222222222213</v>
      </c>
      <c r="E25" s="15">
        <f>E$6*$C25*12/założenia!$K21</f>
        <v>4444.4444444444425</v>
      </c>
      <c r="F25" s="15">
        <f>F$6*$C25*12/założenia!$K21</f>
        <v>8888.888888888885</v>
      </c>
      <c r="G25" s="15">
        <f>G$6*$C25*12/założenia!$K21</f>
        <v>13333.333333333328</v>
      </c>
      <c r="H25" s="15">
        <f>H$6*$C25*12/założenia!$K21</f>
        <v>17777.77777777777</v>
      </c>
      <c r="I25" s="15">
        <f t="shared" si="5"/>
        <v>64113.610408816225</v>
      </c>
      <c r="J25" s="15">
        <f t="shared" si="6"/>
        <v>128227.22081763245</v>
      </c>
      <c r="K25" s="15">
        <f t="shared" si="7"/>
        <v>256454.4416352649</v>
      </c>
      <c r="L25" s="15">
        <f t="shared" si="8"/>
        <v>384681.66245289752</v>
      </c>
      <c r="M25" s="15">
        <f t="shared" si="9"/>
        <v>512908.8832705298</v>
      </c>
    </row>
    <row r="26" spans="2:13">
      <c r="B26">
        <v>41</v>
      </c>
      <c r="C26" s="13">
        <f>VLOOKUP(B26,założenia!$H$3:$J$46,3,FALSE)*$C$3/(VLOOKUP($C$4,założenia!$H$3:$J$46,3,FALSE))</f>
        <v>4985.5947955390329</v>
      </c>
      <c r="D26" s="15">
        <f>D$6*$C26*12/założenia!$K22</f>
        <v>2215.8199091284587</v>
      </c>
      <c r="E26" s="15">
        <f>E$6*$C26*12/założenia!$K22</f>
        <v>4431.6398182569174</v>
      </c>
      <c r="F26" s="15">
        <f>F$6*$C26*12/założenia!$K22</f>
        <v>8863.2796365138347</v>
      </c>
      <c r="G26" s="15">
        <f>G$6*$C26*12/założenia!$K22</f>
        <v>13294.919454770748</v>
      </c>
      <c r="H26" s="15">
        <f>H$6*$C26*12/założenia!$K22</f>
        <v>17726.559273027669</v>
      </c>
      <c r="I26" s="15">
        <f t="shared" si="5"/>
        <v>67932.270578165087</v>
      </c>
      <c r="J26" s="15">
        <f t="shared" si="6"/>
        <v>135864.54115633017</v>
      </c>
      <c r="K26" s="15">
        <f t="shared" si="7"/>
        <v>271729.08231266035</v>
      </c>
      <c r="L26" s="15">
        <f t="shared" si="8"/>
        <v>407593.62346899067</v>
      </c>
      <c r="M26" s="15">
        <f t="shared" si="9"/>
        <v>543458.1646253207</v>
      </c>
    </row>
    <row r="27" spans="2:13">
      <c r="B27">
        <v>42</v>
      </c>
      <c r="C27" s="13">
        <f>VLOOKUP(B27,założenia!$H$3:$J$46,3,FALSE)*$C$3/(VLOOKUP($C$4,założenia!$H$3:$J$46,3,FALSE))</f>
        <v>4971.1895910780659</v>
      </c>
      <c r="D27" s="15">
        <f>D$6*$C27*12/założenia!$K23</f>
        <v>2209.4175960346952</v>
      </c>
      <c r="E27" s="15">
        <f>E$6*$C27*12/założenia!$K23</f>
        <v>4418.8351920693904</v>
      </c>
      <c r="F27" s="15">
        <f>F$6*$C27*12/założenia!$K23</f>
        <v>8837.6703841387807</v>
      </c>
      <c r="G27" s="15">
        <f>G$6*$C27*12/założenia!$K23</f>
        <v>13256.505576208168</v>
      </c>
      <c r="H27" s="15">
        <f>H$6*$C27*12/założenia!$K23</f>
        <v>17675.340768277561</v>
      </c>
      <c r="I27" s="15">
        <f t="shared" si="5"/>
        <v>71839.994938653894</v>
      </c>
      <c r="J27" s="15">
        <f t="shared" si="6"/>
        <v>143679.98987730779</v>
      </c>
      <c r="K27" s="15">
        <f t="shared" si="7"/>
        <v>287359.97975461558</v>
      </c>
      <c r="L27" s="15">
        <f t="shared" si="8"/>
        <v>431039.9696319236</v>
      </c>
      <c r="M27" s="15">
        <f t="shared" si="9"/>
        <v>574719.95950923115</v>
      </c>
    </row>
    <row r="28" spans="2:13">
      <c r="B28">
        <v>43</v>
      </c>
      <c r="C28" s="13">
        <f>VLOOKUP(B28,założenia!$H$3:$J$46,3,FALSE)*$C$3/(VLOOKUP($C$4,założenia!$H$3:$J$46,3,FALSE))</f>
        <v>4956.7843866170988</v>
      </c>
      <c r="D28" s="15">
        <f>D$6*$C28*12/założenia!$K24</f>
        <v>2203.0152829409321</v>
      </c>
      <c r="E28" s="15">
        <f>E$6*$C28*12/założenia!$K24</f>
        <v>4406.0305658818643</v>
      </c>
      <c r="F28" s="15">
        <f>F$6*$C28*12/założenia!$K24</f>
        <v>8812.0611317637286</v>
      </c>
      <c r="G28" s="15">
        <f>G$6*$C28*12/założenia!$K24</f>
        <v>13218.091697645592</v>
      </c>
      <c r="H28" s="15">
        <f>H$6*$C28*12/założenia!$K24</f>
        <v>17624.122263527457</v>
      </c>
      <c r="I28" s="15">
        <f t="shared" si="5"/>
        <v>75839.010095061167</v>
      </c>
      <c r="J28" s="15">
        <f t="shared" si="6"/>
        <v>151678.02019012233</v>
      </c>
      <c r="K28" s="15">
        <f t="shared" si="7"/>
        <v>303356.04038024467</v>
      </c>
      <c r="L28" s="15">
        <f t="shared" si="8"/>
        <v>455034.06057036726</v>
      </c>
      <c r="M28" s="15">
        <f t="shared" si="9"/>
        <v>606712.08076048933</v>
      </c>
    </row>
    <row r="29" spans="2:13">
      <c r="B29">
        <v>44</v>
      </c>
      <c r="C29" s="13">
        <f>VLOOKUP(B29,założenia!$H$3:$J$46,3,FALSE)*$C$3/(VLOOKUP($C$4,założenia!$H$3:$J$46,3,FALSE))</f>
        <v>4942.3791821561326</v>
      </c>
      <c r="D29" s="15">
        <f>D$6*$C29*12/założenia!$K25</f>
        <v>2196.6129698471691</v>
      </c>
      <c r="E29" s="15">
        <f>E$6*$C29*12/założenia!$K25</f>
        <v>4393.2259396943382</v>
      </c>
      <c r="F29" s="15">
        <f>F$6*$C29*12/założenia!$K25</f>
        <v>8786.4518793886764</v>
      </c>
      <c r="G29" s="15">
        <f>G$6*$C29*12/założenia!$K25</f>
        <v>13179.677819083014</v>
      </c>
      <c r="H29" s="15">
        <f>H$6*$C29*12/założenia!$K25</f>
        <v>17572.903758777353</v>
      </c>
      <c r="I29" s="15">
        <f t="shared" si="5"/>
        <v>79931.59831728485</v>
      </c>
      <c r="J29" s="15">
        <f t="shared" si="6"/>
        <v>159863.1966345697</v>
      </c>
      <c r="K29" s="15">
        <f t="shared" si="7"/>
        <v>319726.3932691394</v>
      </c>
      <c r="L29" s="15">
        <f t="shared" si="8"/>
        <v>479589.58990370942</v>
      </c>
      <c r="M29" s="15">
        <f t="shared" si="9"/>
        <v>639452.7865382788</v>
      </c>
    </row>
    <row r="30" spans="2:13">
      <c r="B30">
        <v>45</v>
      </c>
      <c r="C30" s="13">
        <f>VLOOKUP(B30,założenia!$H$3:$J$46,3,FALSE)*$C$3/(VLOOKUP($C$4,założenia!$H$3:$J$46,3,FALSE))</f>
        <v>4927.9739776951665</v>
      </c>
      <c r="D30" s="15">
        <f>D$6*$C30*12/założenia!$K26</f>
        <v>2190.2106567534065</v>
      </c>
      <c r="E30" s="15">
        <f>E$6*$C30*12/założenia!$K26</f>
        <v>4380.421313506813</v>
      </c>
      <c r="F30" s="15">
        <f>F$6*$C30*12/założenia!$K26</f>
        <v>8760.842627013626</v>
      </c>
      <c r="G30" s="15">
        <f>G$6*$C30*12/założenia!$K26</f>
        <v>13141.263940520439</v>
      </c>
      <c r="H30" s="15">
        <f>H$6*$C30*12/założenia!$K26</f>
        <v>17521.685254027252</v>
      </c>
      <c r="I30" s="15">
        <f t="shared" si="5"/>
        <v>84120.098931970366</v>
      </c>
      <c r="J30" s="15">
        <f t="shared" si="6"/>
        <v>168240.19786394073</v>
      </c>
      <c r="K30" s="15">
        <f t="shared" si="7"/>
        <v>336480.39572788146</v>
      </c>
      <c r="L30" s="15">
        <f t="shared" si="8"/>
        <v>504720.59359182254</v>
      </c>
      <c r="M30" s="15">
        <f t="shared" si="9"/>
        <v>672960.79145576293</v>
      </c>
    </row>
    <row r="31" spans="2:13">
      <c r="B31">
        <v>46</v>
      </c>
      <c r="C31" s="13">
        <f>VLOOKUP(B31,założenia!$H$3:$J$46,3,FALSE)*$C$3/(VLOOKUP($C$4,założenia!$H$3:$J$46,3,FALSE))</f>
        <v>4913.5687732341985</v>
      </c>
      <c r="D31" s="15">
        <f>D$6*$C31*12/założenia!$K27</f>
        <v>2267.8009722619372</v>
      </c>
      <c r="E31" s="15">
        <f>E$6*$C31*12/założenia!$K27</f>
        <v>4535.6019445238744</v>
      </c>
      <c r="F31" s="15">
        <f>F$6*$C31*12/założenia!$K27</f>
        <v>9071.2038890477488</v>
      </c>
      <c r="G31" s="15">
        <f>G$6*$C31*12/założenia!$K27</f>
        <v>13606.805833571621</v>
      </c>
      <c r="H31" s="15">
        <f>H$6*$C31*12/założenia!$K27</f>
        <v>18142.407778095498</v>
      </c>
      <c r="I31" s="15">
        <f t="shared" si="5"/>
        <v>88490.902377531544</v>
      </c>
      <c r="J31" s="15">
        <f t="shared" si="6"/>
        <v>176981.80475506309</v>
      </c>
      <c r="K31" s="15">
        <f t="shared" si="7"/>
        <v>353963.60951012617</v>
      </c>
      <c r="L31" s="15">
        <f t="shared" si="8"/>
        <v>530945.41426518967</v>
      </c>
      <c r="M31" s="15">
        <f t="shared" si="9"/>
        <v>707927.21902025235</v>
      </c>
    </row>
    <row r="32" spans="2:13">
      <c r="B32">
        <v>47</v>
      </c>
      <c r="C32" s="13">
        <f>VLOOKUP(B32,założenia!$H$3:$J$46,3,FALSE)*$C$3/(VLOOKUP($C$4,założenia!$H$3:$J$46,3,FALSE))</f>
        <v>4899.1635687732314</v>
      </c>
      <c r="D32" s="15">
        <f>D$6*$C32*12/założenia!$K28</f>
        <v>2351.5985130111503</v>
      </c>
      <c r="E32" s="15">
        <f>E$6*$C32*12/założenia!$K28</f>
        <v>4703.1970260223006</v>
      </c>
      <c r="F32" s="15">
        <f>F$6*$C32*12/założenia!$K28</f>
        <v>9406.3940520446013</v>
      </c>
      <c r="G32" s="15">
        <f>G$6*$C32*12/założenia!$K28</f>
        <v>14109.5910780669</v>
      </c>
      <c r="H32" s="15">
        <f>H$6*$C32*12/założenia!$K28</f>
        <v>18812.788104089203</v>
      </c>
      <c r="I32" s="15">
        <f t="shared" si="5"/>
        <v>93054.773449980974</v>
      </c>
      <c r="J32" s="15">
        <f t="shared" si="6"/>
        <v>186109.54689996195</v>
      </c>
      <c r="K32" s="15">
        <f t="shared" si="7"/>
        <v>372219.0937999239</v>
      </c>
      <c r="L32" s="15">
        <f t="shared" si="8"/>
        <v>558328.64069988625</v>
      </c>
      <c r="M32" s="15">
        <f t="shared" si="9"/>
        <v>744438.18759984779</v>
      </c>
    </row>
    <row r="33" spans="2:13">
      <c r="B33">
        <v>48</v>
      </c>
      <c r="C33" s="13">
        <f>VLOOKUP(B33,założenia!$H$3:$J$46,3,FALSE)*$C$3/(VLOOKUP($C$4,założenia!$H$3:$J$46,3,FALSE))</f>
        <v>4884.7583643122662</v>
      </c>
      <c r="D33" s="15">
        <f>D$6*$C33*12/założenia!$K29</f>
        <v>2442.3791821561326</v>
      </c>
      <c r="E33" s="15">
        <f>E$6*$C33*12/założenia!$K29</f>
        <v>4884.7583643122653</v>
      </c>
      <c r="F33" s="15">
        <f>F$6*$C33*12/założenia!$K29</f>
        <v>9769.5167286245305</v>
      </c>
      <c r="G33" s="15">
        <f>G$6*$C33*12/założenia!$K29</f>
        <v>14654.275092936794</v>
      </c>
      <c r="H33" s="15">
        <f>H$6*$C33*12/założenia!$K29</f>
        <v>19539.033457249061</v>
      </c>
      <c r="I33" s="15">
        <f t="shared" si="5"/>
        <v>97823.521968386616</v>
      </c>
      <c r="J33" s="15">
        <f t="shared" si="6"/>
        <v>195647.04393677323</v>
      </c>
      <c r="K33" s="15">
        <f t="shared" si="7"/>
        <v>391294.08787354646</v>
      </c>
      <c r="L33" s="15">
        <f t="shared" si="8"/>
        <v>586941.13181032019</v>
      </c>
      <c r="M33" s="15">
        <f t="shared" si="9"/>
        <v>782588.17574709293</v>
      </c>
    </row>
    <row r="34" spans="2:13">
      <c r="B34">
        <v>49</v>
      </c>
      <c r="C34" s="13">
        <f>VLOOKUP(B34,założenia!$H$3:$J$46,3,FALSE)*$C$3/(VLOOKUP($C$4,założenia!$H$3:$J$46,3,FALSE))</f>
        <v>4870.3531598512991</v>
      </c>
      <c r="D34" s="15">
        <f>D$6*$C34*12/założenia!$K30</f>
        <v>2541.053822531112</v>
      </c>
      <c r="E34" s="15">
        <f>E$6*$C34*12/założenia!$K30</f>
        <v>5082.107645062224</v>
      </c>
      <c r="F34" s="15">
        <f>F$6*$C34*12/założenia!$K30</f>
        <v>10164.215290124448</v>
      </c>
      <c r="G34" s="15">
        <f>G$6*$C34*12/założenia!$K30</f>
        <v>15246.32293518667</v>
      </c>
      <c r="H34" s="15">
        <f>H$6*$C34*12/założenia!$K30</f>
        <v>20328.430580248896</v>
      </c>
      <c r="I34" s="15">
        <f t="shared" si="5"/>
        <v>102810.1638401274</v>
      </c>
      <c r="J34" s="15">
        <f t="shared" si="6"/>
        <v>205620.32768025479</v>
      </c>
      <c r="K34" s="15">
        <f t="shared" si="7"/>
        <v>411240.65536050958</v>
      </c>
      <c r="L34" s="15">
        <f t="shared" si="8"/>
        <v>616860.98304076481</v>
      </c>
      <c r="M34" s="15">
        <f t="shared" si="9"/>
        <v>822481.31072101917</v>
      </c>
    </row>
    <row r="35" spans="2:13">
      <c r="B35">
        <v>50</v>
      </c>
      <c r="C35" s="13">
        <f>VLOOKUP(B35,założenia!$H$3:$J$46,3,FALSE)*$C$3/(VLOOKUP($C$4,założenia!$H$3:$J$46,3,FALSE))</f>
        <v>4855.9479553903357</v>
      </c>
      <c r="D35" s="15">
        <f>D$6*$C35*12/założenia!$K31</f>
        <v>2648.6988847583643</v>
      </c>
      <c r="E35" s="15">
        <f>E$6*$C35*12/założenia!$K31</f>
        <v>5297.3977695167287</v>
      </c>
      <c r="F35" s="15">
        <f>F$6*$C35*12/założenia!$K31</f>
        <v>10594.795539033457</v>
      </c>
      <c r="G35" s="15">
        <f>G$6*$C35*12/założenia!$K31</f>
        <v>15892.193308550184</v>
      </c>
      <c r="H35" s="15">
        <f>H$6*$C35*12/założenia!$K31</f>
        <v>21189.591078066915</v>
      </c>
      <c r="I35" s="15">
        <f t="shared" si="5"/>
        <v>108029.11682088894</v>
      </c>
      <c r="J35" s="15">
        <f t="shared" si="6"/>
        <v>216058.23364177789</v>
      </c>
      <c r="K35" s="15">
        <f t="shared" si="7"/>
        <v>432116.46728355577</v>
      </c>
      <c r="L35" s="15">
        <f t="shared" si="8"/>
        <v>648174.70092533401</v>
      </c>
      <c r="M35" s="15">
        <f t="shared" si="9"/>
        <v>864232.93456711154</v>
      </c>
    </row>
    <row r="36" spans="2:13">
      <c r="B36">
        <v>51</v>
      </c>
      <c r="C36" s="13">
        <f>VLOOKUP(B36,założenia!$H$3:$J$46,3,FALSE)*$C$3/(VLOOKUP($C$4,założenia!$H$3:$J$46,3,FALSE))</f>
        <v>4795.5390334572485</v>
      </c>
      <c r="D36" s="15">
        <f>D$6*$C36*12/założenia!$K32</f>
        <v>2740.3080191184272</v>
      </c>
      <c r="E36" s="15">
        <f>E$6*$C36*12/założenia!$K32</f>
        <v>5480.6160382368544</v>
      </c>
      <c r="F36" s="15">
        <f>F$6*$C36*12/założenia!$K32</f>
        <v>10961.232076473709</v>
      </c>
      <c r="G36" s="15">
        <f>G$6*$C36*12/założenia!$K32</f>
        <v>16441.848114710559</v>
      </c>
      <c r="H36" s="15">
        <f>H$6*$C36*12/założenia!$K32</f>
        <v>21922.464152947417</v>
      </c>
      <c r="I36" s="15">
        <f t="shared" si="5"/>
        <v>113470.15276052959</v>
      </c>
      <c r="J36" s="15">
        <f t="shared" si="6"/>
        <v>226940.30552105917</v>
      </c>
      <c r="K36" s="15">
        <f t="shared" si="7"/>
        <v>453880.61104211834</v>
      </c>
      <c r="L36" s="15">
        <f t="shared" si="8"/>
        <v>680820.91656317783</v>
      </c>
      <c r="M36" s="15">
        <f t="shared" si="9"/>
        <v>907761.22208423668</v>
      </c>
    </row>
    <row r="37" spans="2:13">
      <c r="B37">
        <v>52</v>
      </c>
      <c r="C37" s="13">
        <f>VLOOKUP(B37,założenia!$H$3:$J$46,3,FALSE)*$C$3/(VLOOKUP($C$4,założenia!$H$3:$J$46,3,FALSE))</f>
        <v>4735.1301115241631</v>
      </c>
      <c r="D37" s="15">
        <f>D$6*$C37*12/założenia!$K33</f>
        <v>2771.7834799165821</v>
      </c>
      <c r="E37" s="15">
        <f>E$6*$C37*12/założenia!$K33</f>
        <v>5543.5669598331642</v>
      </c>
      <c r="F37" s="15">
        <f>F$6*$C37*12/założenia!$K33</f>
        <v>11087.133919666328</v>
      </c>
      <c r="G37" s="15">
        <f>G$6*$C37*12/założenia!$K33</f>
        <v>16630.700879499491</v>
      </c>
      <c r="H37" s="15">
        <f>H$6*$C37*12/założenia!$K33</f>
        <v>22174.267839332657</v>
      </c>
      <c r="I37" s="15">
        <f t="shared" si="5"/>
        <v>119078.6900594594</v>
      </c>
      <c r="J37" s="15">
        <f t="shared" si="6"/>
        <v>238157.38011891881</v>
      </c>
      <c r="K37" s="15">
        <f t="shared" si="7"/>
        <v>476314.76023783762</v>
      </c>
      <c r="L37" s="15">
        <f t="shared" si="8"/>
        <v>714472.14035675675</v>
      </c>
      <c r="M37" s="15">
        <f t="shared" si="9"/>
        <v>952629.52047567524</v>
      </c>
    </row>
    <row r="38" spans="2:13">
      <c r="B38">
        <v>53</v>
      </c>
      <c r="C38" s="13">
        <f>VLOOKUP(B38,założenia!$H$3:$J$46,3,FALSE)*$C$3/(VLOOKUP($C$4,założenia!$H$3:$J$46,3,FALSE))</f>
        <v>4674.7211895910787</v>
      </c>
      <c r="D38" s="15">
        <f>D$6*$C38*12/założenia!$K34</f>
        <v>2804.8327137546462</v>
      </c>
      <c r="E38" s="15">
        <f>E$6*$C38*12/założenia!$K34</f>
        <v>5609.6654275092924</v>
      </c>
      <c r="F38" s="15">
        <f>F$6*$C38*12/założenia!$K34</f>
        <v>11219.330855018585</v>
      </c>
      <c r="G38" s="15">
        <f>G$6*$C38*12/założenia!$K34</f>
        <v>16828.996282527874</v>
      </c>
      <c r="H38" s="15">
        <f>H$6*$C38*12/założenia!$K34</f>
        <v>22438.66171003717</v>
      </c>
      <c r="I38" s="15">
        <f t="shared" si="5"/>
        <v>124860.49002470053</v>
      </c>
      <c r="J38" s="15">
        <f t="shared" si="6"/>
        <v>249720.98004940106</v>
      </c>
      <c r="K38" s="15">
        <f t="shared" si="7"/>
        <v>499441.96009880211</v>
      </c>
      <c r="L38" s="15">
        <f t="shared" si="8"/>
        <v>749162.94014820352</v>
      </c>
      <c r="M38" s="15">
        <f t="shared" si="9"/>
        <v>998883.92019760422</v>
      </c>
    </row>
    <row r="39" spans="2:13">
      <c r="B39">
        <v>54</v>
      </c>
      <c r="C39" s="13">
        <f>VLOOKUP(B39,założenia!$H$3:$J$46,3,FALSE)*$C$3/(VLOOKUP($C$4,założenia!$H$3:$J$46,3,FALSE))</f>
        <v>4614.3122676579933</v>
      </c>
      <c r="D39" s="15">
        <f>D$6*$C39*12/założenia!$K35</f>
        <v>2839.5767800972258</v>
      </c>
      <c r="E39" s="15">
        <f>E$6*$C39*12/założenia!$K35</f>
        <v>5679.1535601944515</v>
      </c>
      <c r="F39" s="15">
        <f>F$6*$C39*12/założenia!$K35</f>
        <v>11358.307120388903</v>
      </c>
      <c r="G39" s="15">
        <f>G$6*$C39*12/założenia!$K35</f>
        <v>17037.46068058335</v>
      </c>
      <c r="H39" s="15">
        <f>H$6*$C39*12/założenia!$K35</f>
        <v>22716.614240777806</v>
      </c>
      <c r="I39" s="15">
        <f t="shared" si="5"/>
        <v>130821.57905541525</v>
      </c>
      <c r="J39" s="15">
        <f t="shared" si="6"/>
        <v>261643.1581108305</v>
      </c>
      <c r="K39" s="15">
        <f t="shared" si="7"/>
        <v>523286.31622166099</v>
      </c>
      <c r="L39" s="15">
        <f t="shared" si="8"/>
        <v>784929.47433249187</v>
      </c>
      <c r="M39" s="15">
        <f t="shared" si="9"/>
        <v>1046572.632443322</v>
      </c>
    </row>
    <row r="40" spans="2:13">
      <c r="B40">
        <v>55</v>
      </c>
      <c r="C40" s="13">
        <f>VLOOKUP(B40,założenia!$H$3:$J$46,3,FALSE)*$C$3/(VLOOKUP($C$4,założenia!$H$3:$J$46,3,FALSE))</f>
        <v>4553.9033457249079</v>
      </c>
      <c r="D40" s="15">
        <f>D$6*$C40*12/założenia!$K36</f>
        <v>2876.1494815104675</v>
      </c>
      <c r="E40" s="15">
        <f>E$6*$C40*12/założenia!$K36</f>
        <v>5752.2989630209349</v>
      </c>
      <c r="F40" s="15">
        <f>F$6*$C40*12/założenia!$K36</f>
        <v>11504.59792604187</v>
      </c>
      <c r="G40" s="15">
        <f>G$6*$C40*12/założenia!$K36</f>
        <v>17256.896889062798</v>
      </c>
      <c r="H40" s="15">
        <f>H$6*$C40*12/założenia!$K36</f>
        <v>23009.19585208374</v>
      </c>
      <c r="I40" s="15">
        <f t="shared" si="5"/>
        <v>136968.26801331111</v>
      </c>
      <c r="J40" s="15">
        <f t="shared" si="6"/>
        <v>273936.53602662223</v>
      </c>
      <c r="K40" s="15">
        <f t="shared" si="7"/>
        <v>547873.07205324445</v>
      </c>
      <c r="L40" s="15">
        <f t="shared" si="8"/>
        <v>821809.60807986697</v>
      </c>
      <c r="M40" s="15">
        <f t="shared" si="9"/>
        <v>1095746.1441064889</v>
      </c>
    </row>
    <row r="41" spans="2:13">
      <c r="B41">
        <v>56</v>
      </c>
      <c r="C41" s="13">
        <f>VLOOKUP(B41,założenia!$H$3:$J$46,3,FALSE)*$C$3/(VLOOKUP($C$4,założenia!$H$3:$J$46,3,FALSE))</f>
        <v>4493.4944237918226</v>
      </c>
      <c r="D41" s="15">
        <f>D$6*$C41*12/założenia!$K37</f>
        <v>2914.6990857028031</v>
      </c>
      <c r="E41" s="15">
        <f>E$6*$C41*12/założenia!$K37</f>
        <v>5829.3981714056063</v>
      </c>
      <c r="F41" s="15">
        <f>F$6*$C41*12/założenia!$K37</f>
        <v>11658.796342811213</v>
      </c>
      <c r="G41" s="15">
        <f>G$6*$C41*12/założenia!$K37</f>
        <v>17488.194514216815</v>
      </c>
      <c r="H41" s="15">
        <f>H$6*$C41*12/założenia!$K37</f>
        <v>23317.592685622425</v>
      </c>
      <c r="I41" s="15">
        <f t="shared" si="5"/>
        <v>143307.17379934667</v>
      </c>
      <c r="J41" s="15">
        <f t="shared" si="6"/>
        <v>286614.34759869333</v>
      </c>
      <c r="K41" s="15">
        <f t="shared" si="7"/>
        <v>573228.69519738667</v>
      </c>
      <c r="L41" s="15">
        <f t="shared" si="8"/>
        <v>859843.04279608047</v>
      </c>
      <c r="M41" s="15">
        <f t="shared" si="9"/>
        <v>1146457.3903947733</v>
      </c>
    </row>
    <row r="42" spans="2:13">
      <c r="B42">
        <v>57</v>
      </c>
      <c r="C42" s="13">
        <f>VLOOKUP(B42,założenia!$H$3:$J$46,3,FALSE)*$C$3/(VLOOKUP($C$4,założenia!$H$3:$J$46,3,FALSE))</f>
        <v>4493.4944237918235</v>
      </c>
      <c r="D42" s="15">
        <f>D$6*$C42*12/założenia!$K38</f>
        <v>2995.6629491945482</v>
      </c>
      <c r="E42" s="15">
        <f>E$6*$C42*12/założenia!$K38</f>
        <v>5991.3258983890964</v>
      </c>
      <c r="F42" s="15">
        <f>F$6*$C42*12/założenia!$K38</f>
        <v>11982.651796778193</v>
      </c>
      <c r="G42" s="15">
        <f>G$6*$C42*12/założenia!$K38</f>
        <v>17973.977695167287</v>
      </c>
      <c r="H42" s="15">
        <f>H$6*$C42*12/założenia!$K38</f>
        <v>23965.303593556386</v>
      </c>
      <c r="I42" s="15">
        <f t="shared" si="5"/>
        <v>149885.51609352487</v>
      </c>
      <c r="J42" s="15">
        <f t="shared" si="6"/>
        <v>299771.03218704974</v>
      </c>
      <c r="K42" s="15">
        <f t="shared" si="7"/>
        <v>599542.06437409949</v>
      </c>
      <c r="L42" s="15">
        <f t="shared" si="8"/>
        <v>899313.09656114969</v>
      </c>
      <c r="M42" s="15">
        <f t="shared" si="9"/>
        <v>1199084.128748199</v>
      </c>
    </row>
    <row r="43" spans="2:13">
      <c r="B43">
        <v>58</v>
      </c>
      <c r="C43" s="13">
        <f>VLOOKUP(B43,założenia!$H$3:$J$46,3,FALSE)*$C$3/(VLOOKUP($C$4,założenia!$H$3:$J$46,3,FALSE))</f>
        <v>4513.6307311028513</v>
      </c>
      <c r="D43" s="15">
        <f>D$6*$C43*12/założenia!$K39</f>
        <v>3009.0871540685666</v>
      </c>
      <c r="E43" s="15">
        <f>E$6*$C43*12/założenia!$K39</f>
        <v>6018.1743081371333</v>
      </c>
      <c r="F43" s="15">
        <f>F$6*$C43*12/założenia!$K39</f>
        <v>12036.348616274267</v>
      </c>
      <c r="G43" s="15">
        <f>G$6*$C43*12/założenia!$K39</f>
        <v>18054.522924411394</v>
      </c>
      <c r="H43" s="15">
        <f>H$6*$C43*12/założenia!$K39</f>
        <v>24072.697232548533</v>
      </c>
      <c r="I43" s="15">
        <f t="shared" si="5"/>
        <v>156641.74114993156</v>
      </c>
      <c r="J43" s="15">
        <f t="shared" si="6"/>
        <v>313283.48229986313</v>
      </c>
      <c r="K43" s="15">
        <f t="shared" si="7"/>
        <v>626566.96459972626</v>
      </c>
      <c r="L43" s="15">
        <f t="shared" si="8"/>
        <v>939850.44689958973</v>
      </c>
      <c r="M43" s="15">
        <f t="shared" si="9"/>
        <v>1253133.9291994525</v>
      </c>
    </row>
    <row r="44" spans="2:13">
      <c r="B44">
        <v>59</v>
      </c>
      <c r="C44" s="13">
        <f>VLOOKUP(B44,założenia!$H$3:$J$46,3,FALSE)*$C$3/(VLOOKUP($C$4,założenia!$H$3:$J$46,3,FALSE))</f>
        <v>4533.7670384138801</v>
      </c>
      <c r="D44" s="15">
        <f>D$6*$C44*12/założenia!$K40</f>
        <v>3022.5113589425855</v>
      </c>
      <c r="E44" s="15">
        <f>E$6*$C44*12/założenia!$K40</f>
        <v>6045.022717885171</v>
      </c>
      <c r="F44" s="15">
        <f>F$6*$C44*12/założenia!$K40</f>
        <v>12090.045435770342</v>
      </c>
      <c r="G44" s="15">
        <f>G$6*$C44*12/założenia!$K40</f>
        <v>18135.068153655513</v>
      </c>
      <c r="H44" s="15">
        <f>H$6*$C44*12/założenia!$K40</f>
        <v>24180.090871540684</v>
      </c>
      <c r="I44" s="15">
        <f t="shared" si="5"/>
        <v>163580.29603762241</v>
      </c>
      <c r="J44" s="15">
        <f t="shared" si="6"/>
        <v>327160.59207524481</v>
      </c>
      <c r="K44" s="15">
        <f t="shared" si="7"/>
        <v>654321.18415048963</v>
      </c>
      <c r="L44" s="15">
        <f t="shared" si="8"/>
        <v>981481.77622573485</v>
      </c>
      <c r="M44" s="15">
        <f t="shared" si="9"/>
        <v>1308642.3683009793</v>
      </c>
    </row>
    <row r="45" spans="2:13">
      <c r="B45">
        <v>60</v>
      </c>
      <c r="C45" s="13">
        <f>VLOOKUP(B45,założenia!$H$3:$J$46,3,FALSE)*$C$3/(VLOOKUP($C$4,założenia!$H$3:$J$46,3,FALSE))</f>
        <v>4553.9033457249088</v>
      </c>
      <c r="D45" s="15">
        <f>D$6*$C45*12/założenia!$K41</f>
        <v>3035.9355638166048</v>
      </c>
      <c r="E45" s="15">
        <f>E$6*$C45*12/założenia!$K41</f>
        <v>6071.8711276332097</v>
      </c>
      <c r="F45" s="15">
        <f>F$6*$C45*12/założenia!$K41</f>
        <v>12143.742255266419</v>
      </c>
      <c r="G45" s="15">
        <f>G$6*$C45*12/założenia!$K41</f>
        <v>18215.613382899628</v>
      </c>
      <c r="H45" s="15">
        <f>H$6*$C45*12/założenia!$K41</f>
        <v>24287.484510532839</v>
      </c>
      <c r="I45" s="15">
        <f t="shared" si="5"/>
        <v>170705.73900237956</v>
      </c>
      <c r="J45" s="15">
        <f t="shared" si="6"/>
        <v>341411.47800475912</v>
      </c>
      <c r="K45" s="15">
        <f t="shared" si="7"/>
        <v>682822.95600951824</v>
      </c>
      <c r="L45" s="15">
        <f t="shared" si="8"/>
        <v>1024234.4340142778</v>
      </c>
      <c r="M45" s="15">
        <f t="shared" si="9"/>
        <v>1365645.9120190365</v>
      </c>
    </row>
    <row r="46" spans="2:13">
      <c r="B46">
        <v>61</v>
      </c>
      <c r="C46" s="13">
        <f>VLOOKUP(B46,założenia!$H$3:$J$46,3,FALSE)*$C$3/(VLOOKUP($C$4,założenia!$H$3:$J$46,3,FALSE))</f>
        <v>4574.0396530359376</v>
      </c>
      <c r="D46" s="15">
        <f>D$6*$C46*12/założenia!$K42</f>
        <v>3049.3597686906242</v>
      </c>
      <c r="E46" s="15">
        <f>E$6*$C46*12/założenia!$K42</f>
        <v>6098.7195373812483</v>
      </c>
      <c r="F46" s="15">
        <f>F$6*$C46*12/założenia!$K42</f>
        <v>12197.439074762497</v>
      </c>
      <c r="G46" s="15">
        <f>G$6*$C46*12/założenia!$K42</f>
        <v>18296.158612143743</v>
      </c>
      <c r="H46" s="15">
        <f>H$6*$C46*12/założenia!$K42</f>
        <v>24394.878149524993</v>
      </c>
      <c r="I46" s="15">
        <f t="shared" si="5"/>
        <v>178022.74224612967</v>
      </c>
      <c r="J46" s="15">
        <f t="shared" si="6"/>
        <v>356045.48449225933</v>
      </c>
      <c r="K46" s="15">
        <f t="shared" si="7"/>
        <v>712090.96898451867</v>
      </c>
      <c r="L46" s="15">
        <f t="shared" si="8"/>
        <v>1068136.4534767782</v>
      </c>
      <c r="M46" s="15">
        <f t="shared" si="9"/>
        <v>1424181.9379690373</v>
      </c>
    </row>
    <row r="47" spans="2:13">
      <c r="B47">
        <v>62</v>
      </c>
      <c r="C47" s="13">
        <f>VLOOKUP(B47,założenia!$H$3:$J$46,3,FALSE)*$C$3/(VLOOKUP($C$4,założenia!$H$3:$J$46,3,FALSE))</f>
        <v>4594.1759603469663</v>
      </c>
      <c r="D47" s="15">
        <f>D$6*$C47*12/założenia!$K43</f>
        <v>3062.7839735646435</v>
      </c>
      <c r="E47" s="15">
        <f>E$6*$C47*12/założenia!$K43</f>
        <v>6125.5679471292869</v>
      </c>
      <c r="F47" s="15">
        <f>F$6*$C47*12/założenia!$K43</f>
        <v>12251.135894258574</v>
      </c>
      <c r="G47" s="15">
        <f>G$6*$C47*12/założenia!$K43</f>
        <v>18376.703841387858</v>
      </c>
      <c r="H47" s="15">
        <f>H$6*$C47*12/założenia!$K43</f>
        <v>24502.271788517148</v>
      </c>
      <c r="I47" s="15">
        <f t="shared" si="5"/>
        <v>185536.09477584754</v>
      </c>
      <c r="J47" s="15">
        <f t="shared" si="6"/>
        <v>371072.18955169508</v>
      </c>
      <c r="K47" s="15">
        <f t="shared" si="7"/>
        <v>742144.37910339015</v>
      </c>
      <c r="L47" s="15">
        <f t="shared" si="8"/>
        <v>1113216.5686550853</v>
      </c>
      <c r="M47" s="15">
        <f t="shared" si="9"/>
        <v>1484288.7582067803</v>
      </c>
    </row>
    <row r="48" spans="2:13">
      <c r="B48">
        <v>63</v>
      </c>
      <c r="C48" s="13">
        <f>VLOOKUP(B48,założenia!$H$3:$J$46,3,FALSE)*$C$3/(VLOOKUP($C$4,założenia!$H$3:$J$46,3,FALSE))</f>
        <v>4614.3122676579933</v>
      </c>
      <c r="D48" s="15">
        <f>D$6*$C48*12/założenia!$K44</f>
        <v>3076.2081784386614</v>
      </c>
      <c r="E48" s="15">
        <f>E$6*$C48*12/założenia!$K44</f>
        <v>6152.4163568773229</v>
      </c>
      <c r="F48" s="15">
        <f>F$6*$C48*12/założenia!$K44</f>
        <v>12304.832713754646</v>
      </c>
      <c r="G48" s="15">
        <f>G$6*$C48*12/założenia!$K44</f>
        <v>18457.249070631966</v>
      </c>
      <c r="H48" s="15">
        <f>H$6*$C48*12/założenia!$K44</f>
        <v>24609.665427509291</v>
      </c>
      <c r="I48" s="15">
        <f t="shared" si="5"/>
        <v>193250.70532368237</v>
      </c>
      <c r="J48" s="15">
        <f t="shared" si="6"/>
        <v>386501.41064736474</v>
      </c>
      <c r="K48" s="15">
        <f t="shared" si="7"/>
        <v>773002.82129472948</v>
      </c>
      <c r="L48" s="15">
        <f t="shared" si="8"/>
        <v>1159504.2319420944</v>
      </c>
      <c r="M48" s="15">
        <f t="shared" si="9"/>
        <v>1546005.642589459</v>
      </c>
    </row>
    <row r="49" spans="2:13">
      <c r="B49">
        <v>64</v>
      </c>
      <c r="C49" s="13">
        <f>VLOOKUP(B49,założenia!$H$3:$J$46,3,FALSE)*$C$3/(VLOOKUP($C$4,założenia!$H$3:$J$46,3,FALSE))</f>
        <v>4614.3122676579933</v>
      </c>
      <c r="D49" s="15">
        <f>D$6*$C49*12/założenia!$K45</f>
        <v>3076.2081784386614</v>
      </c>
      <c r="E49" s="15">
        <f>E$6*$C49*12/założenia!$K45</f>
        <v>6152.4163568773229</v>
      </c>
      <c r="F49" s="15">
        <f>F$6*$C49*12/założenia!$K45</f>
        <v>12304.832713754646</v>
      </c>
      <c r="G49" s="15">
        <f>G$6*$C49*12/założenia!$K45</f>
        <v>18457.249070631966</v>
      </c>
      <c r="H49" s="15">
        <f>H$6*$C49*12/założenia!$K45</f>
        <v>24609.665427509291</v>
      </c>
      <c r="I49" s="15">
        <f t="shared" si="5"/>
        <v>201158.18113521306</v>
      </c>
      <c r="J49" s="15">
        <f t="shared" si="6"/>
        <v>402316.36227042612</v>
      </c>
      <c r="K49" s="15">
        <f t="shared" si="7"/>
        <v>804632.72454085224</v>
      </c>
      <c r="L49" s="15">
        <f t="shared" si="8"/>
        <v>1206949.0868112787</v>
      </c>
      <c r="M49" s="15">
        <f t="shared" si="9"/>
        <v>1609265.4490817045</v>
      </c>
    </row>
    <row r="50" spans="2:13">
      <c r="B50">
        <v>65</v>
      </c>
      <c r="C50" s="13">
        <f>VLOOKUP(B50,założenia!$H$3:$J$46,3,FALSE)*$C$3/(VLOOKUP($C$4,założenia!$H$3:$J$46,3,FALSE))</f>
        <v>4614.3122676579933</v>
      </c>
      <c r="D50" s="15">
        <f>D$6*$C50*12/założenia!$K46</f>
        <v>3076.2081784386614</v>
      </c>
      <c r="E50" s="15">
        <f>E$6*$C50*12/założenia!$K46</f>
        <v>6152.4163568773229</v>
      </c>
      <c r="F50" s="15">
        <f>F$6*$C50*12/założenia!$K46</f>
        <v>12304.832713754646</v>
      </c>
      <c r="G50" s="15">
        <f>G$6*$C50*12/założenia!$K46</f>
        <v>18457.249070631966</v>
      </c>
      <c r="H50" s="15">
        <f>H$6*$C50*12/założenia!$K46</f>
        <v>24609.665427509291</v>
      </c>
      <c r="I50" s="15">
        <f t="shared" si="5"/>
        <v>209263.34384203202</v>
      </c>
      <c r="J50" s="15">
        <f t="shared" si="6"/>
        <v>418526.68768406403</v>
      </c>
      <c r="K50" s="15">
        <f t="shared" si="7"/>
        <v>837053.37536812807</v>
      </c>
      <c r="L50" s="15">
        <f t="shared" si="8"/>
        <v>1255580.0630521926</v>
      </c>
      <c r="M50" s="15">
        <f t="shared" si="9"/>
        <v>1674106.7507362561</v>
      </c>
    </row>
    <row r="51" spans="2:13">
      <c r="I51" s="15">
        <f t="shared" si="5"/>
        <v>214494.92743808278</v>
      </c>
      <c r="J51" s="15">
        <f t="shared" si="6"/>
        <v>428989.85487616557</v>
      </c>
      <c r="K51" s="15">
        <f t="shared" si="7"/>
        <v>857979.70975233114</v>
      </c>
      <c r="L51" s="15">
        <f t="shared" si="8"/>
        <v>1286969.5646284972</v>
      </c>
      <c r="M51" s="15">
        <f t="shared" si="9"/>
        <v>1715959.4195046623</v>
      </c>
    </row>
  </sheetData>
  <mergeCells count="2">
    <mergeCell ref="D5:H5"/>
    <mergeCell ref="I5:M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7"/>
  <sheetViews>
    <sheetView topLeftCell="K4" zoomScale="85" zoomScaleNormal="85" workbookViewId="0">
      <selection activeCell="B7" sqref="B7:L10"/>
    </sheetView>
  </sheetViews>
  <sheetFormatPr defaultRowHeight="14.4"/>
  <cols>
    <col min="9" max="9" width="9.21875" bestFit="1" customWidth="1"/>
    <col min="10" max="10" width="10.77734375" bestFit="1" customWidth="1"/>
    <col min="11" max="11" width="10.77734375" customWidth="1"/>
    <col min="19" max="19" width="15.88671875" bestFit="1" customWidth="1"/>
    <col min="20" max="20" width="57.21875" bestFit="1" customWidth="1"/>
    <col min="21" max="21" width="47" bestFit="1" customWidth="1"/>
    <col min="22" max="22" width="49.21875" bestFit="1" customWidth="1"/>
  </cols>
  <sheetData>
    <row r="1" spans="1:22">
      <c r="L1" s="11">
        <v>0.05</v>
      </c>
      <c r="M1" s="11">
        <v>0.1</v>
      </c>
      <c r="N1" s="11">
        <v>0.2</v>
      </c>
      <c r="O1" s="11">
        <v>0.3</v>
      </c>
      <c r="P1" s="11">
        <v>0.4</v>
      </c>
    </row>
    <row r="2" spans="1:22">
      <c r="A2" s="2" t="s">
        <v>0</v>
      </c>
      <c r="B2" s="1" t="s">
        <v>1</v>
      </c>
      <c r="C2" s="4">
        <v>3982.74</v>
      </c>
      <c r="H2" t="s">
        <v>10</v>
      </c>
      <c r="I2" s="5">
        <v>4865</v>
      </c>
      <c r="J2" t="s">
        <v>12</v>
      </c>
      <c r="L2" s="12">
        <f>$I$2*(1-L1)</f>
        <v>4621.75</v>
      </c>
      <c r="M2" s="12">
        <f t="shared" ref="M2:P2" si="0">$I$2*(1-M1)</f>
        <v>4378.5</v>
      </c>
      <c r="N2" s="12">
        <f t="shared" si="0"/>
        <v>3892</v>
      </c>
      <c r="O2" s="12">
        <f t="shared" si="0"/>
        <v>3405.5</v>
      </c>
      <c r="P2" s="12">
        <f t="shared" si="0"/>
        <v>2919</v>
      </c>
    </row>
    <row r="3" spans="1:22">
      <c r="A3" s="2"/>
      <c r="B3" s="1" t="s">
        <v>2</v>
      </c>
      <c r="C3" s="3">
        <v>69.3</v>
      </c>
      <c r="H3">
        <v>22</v>
      </c>
      <c r="I3" s="8">
        <f>I4</f>
        <v>3356.85</v>
      </c>
      <c r="J3" s="9">
        <f>I3/$I$2</f>
        <v>0.69</v>
      </c>
      <c r="K3" s="9">
        <v>0.7</v>
      </c>
      <c r="L3" s="7">
        <f>$K3*L$2</f>
        <v>3235.2249999999999</v>
      </c>
      <c r="M3" s="7">
        <f t="shared" ref="M3:P3" si="1">$K3*M$2</f>
        <v>3064.95</v>
      </c>
      <c r="N3" s="7">
        <f t="shared" si="1"/>
        <v>2724.3999999999996</v>
      </c>
      <c r="O3" s="7">
        <f t="shared" si="1"/>
        <v>2383.85</v>
      </c>
      <c r="P3" s="7">
        <f t="shared" si="1"/>
        <v>2043.3</v>
      </c>
      <c r="Q3" s="8"/>
    </row>
    <row r="4" spans="1:22">
      <c r="A4" s="2" t="s">
        <v>3</v>
      </c>
      <c r="B4" s="1" t="s">
        <v>1</v>
      </c>
      <c r="C4" s="4">
        <v>5354.21</v>
      </c>
      <c r="H4">
        <v>23</v>
      </c>
      <c r="I4" s="8">
        <f>I5</f>
        <v>3356.85</v>
      </c>
      <c r="J4" s="9">
        <f t="shared" ref="J4:J46" si="2">I4/$I$2</f>
        <v>0.69</v>
      </c>
      <c r="K4" s="9">
        <v>0.7</v>
      </c>
      <c r="L4" s="7">
        <f t="shared" ref="L4:P46" si="3">$K4*L$2</f>
        <v>3235.2249999999999</v>
      </c>
      <c r="M4" s="7">
        <f t="shared" si="3"/>
        <v>3064.95</v>
      </c>
      <c r="N4" s="7">
        <f t="shared" si="3"/>
        <v>2724.3999999999996</v>
      </c>
      <c r="O4" s="7">
        <f t="shared" si="3"/>
        <v>2383.85</v>
      </c>
      <c r="P4" s="7">
        <f t="shared" si="3"/>
        <v>2043.3</v>
      </c>
      <c r="Q4" s="8"/>
    </row>
    <row r="5" spans="1:22">
      <c r="A5" s="2"/>
      <c r="B5" s="1" t="s">
        <v>2</v>
      </c>
      <c r="C5" s="3">
        <v>93.1</v>
      </c>
      <c r="H5">
        <v>24</v>
      </c>
      <c r="I5" s="7">
        <f>I2*69%</f>
        <v>3356.85</v>
      </c>
      <c r="J5" s="9">
        <f t="shared" si="2"/>
        <v>0.69</v>
      </c>
      <c r="K5" s="9">
        <v>0.7</v>
      </c>
      <c r="L5" s="7">
        <f t="shared" si="3"/>
        <v>3235.2249999999999</v>
      </c>
      <c r="M5" s="7">
        <f t="shared" si="3"/>
        <v>3064.95</v>
      </c>
      <c r="N5" s="7">
        <f t="shared" si="3"/>
        <v>2724.3999999999996</v>
      </c>
      <c r="O5" s="7">
        <f t="shared" si="3"/>
        <v>2383.85</v>
      </c>
      <c r="P5" s="7">
        <f t="shared" si="3"/>
        <v>2043.3</v>
      </c>
      <c r="Q5" s="8"/>
    </row>
    <row r="6" spans="1:22" ht="15" thickBot="1">
      <c r="A6" s="2" t="s">
        <v>4</v>
      </c>
      <c r="B6" s="1" t="s">
        <v>1</v>
      </c>
      <c r="C6" s="4">
        <v>6182.33</v>
      </c>
      <c r="H6">
        <v>25</v>
      </c>
      <c r="I6" s="8">
        <f>I5+($I$11-$I$5)/6</f>
        <v>3551.45</v>
      </c>
      <c r="J6" s="9">
        <f t="shared" si="2"/>
        <v>0.73</v>
      </c>
      <c r="K6" s="9">
        <v>0.7</v>
      </c>
      <c r="L6" s="7">
        <f t="shared" si="3"/>
        <v>3235.2249999999999</v>
      </c>
      <c r="M6" s="7">
        <f t="shared" si="3"/>
        <v>3064.95</v>
      </c>
      <c r="N6" s="7">
        <f t="shared" si="3"/>
        <v>2724.3999999999996</v>
      </c>
      <c r="O6" s="7">
        <f t="shared" si="3"/>
        <v>2383.85</v>
      </c>
      <c r="P6" s="7">
        <f t="shared" si="3"/>
        <v>2043.3</v>
      </c>
      <c r="Q6" s="8"/>
    </row>
    <row r="7" spans="1:22" ht="15" thickBot="1">
      <c r="A7" s="2"/>
      <c r="B7" s="1" t="s">
        <v>2</v>
      </c>
      <c r="C7" s="3">
        <v>107.6</v>
      </c>
      <c r="H7">
        <v>26</v>
      </c>
      <c r="I7" s="8">
        <f t="shared" ref="I7:I10" si="4">I6+($I$11-$I$5)/6</f>
        <v>3746.0499999999997</v>
      </c>
      <c r="J7" s="9">
        <f t="shared" si="2"/>
        <v>0.76999999999999991</v>
      </c>
      <c r="K7" s="9">
        <v>0.7</v>
      </c>
      <c r="L7" s="7">
        <f t="shared" si="3"/>
        <v>3235.2249999999999</v>
      </c>
      <c r="M7" s="7">
        <f t="shared" si="3"/>
        <v>3064.95</v>
      </c>
      <c r="N7" s="7">
        <f t="shared" si="3"/>
        <v>2724.3999999999996</v>
      </c>
      <c r="O7" s="7">
        <f t="shared" si="3"/>
        <v>2383.85</v>
      </c>
      <c r="P7" s="7">
        <f t="shared" si="3"/>
        <v>2043.3</v>
      </c>
      <c r="Q7" s="8"/>
      <c r="S7" s="17"/>
      <c r="T7" s="18" t="s">
        <v>22</v>
      </c>
      <c r="U7" s="18" t="s">
        <v>23</v>
      </c>
      <c r="V7" s="18" t="s">
        <v>24</v>
      </c>
    </row>
    <row r="8" spans="1:22" ht="15" thickBot="1">
      <c r="A8" s="2" t="s">
        <v>5</v>
      </c>
      <c r="B8" s="1" t="s">
        <v>1</v>
      </c>
      <c r="C8" s="4">
        <v>6005.25</v>
      </c>
      <c r="H8">
        <v>27</v>
      </c>
      <c r="I8" s="8">
        <f t="shared" si="4"/>
        <v>3940.6499999999996</v>
      </c>
      <c r="J8" s="9">
        <f t="shared" si="2"/>
        <v>0.80999999999999994</v>
      </c>
      <c r="K8" s="9">
        <f t="shared" ref="K8:K10" si="5">K7+5%</f>
        <v>0.75</v>
      </c>
      <c r="L8" s="7">
        <f t="shared" si="3"/>
        <v>3466.3125</v>
      </c>
      <c r="M8" s="7">
        <f t="shared" si="3"/>
        <v>3283.875</v>
      </c>
      <c r="N8" s="7">
        <f t="shared" si="3"/>
        <v>2919</v>
      </c>
      <c r="O8" s="7">
        <f t="shared" si="3"/>
        <v>2554.125</v>
      </c>
      <c r="P8" s="7">
        <f t="shared" si="3"/>
        <v>2189.25</v>
      </c>
      <c r="Q8" s="8"/>
      <c r="S8" s="19" t="s">
        <v>25</v>
      </c>
      <c r="T8" s="20">
        <v>0.36</v>
      </c>
      <c r="U8" s="20">
        <v>0.96</v>
      </c>
      <c r="V8" s="21">
        <v>26</v>
      </c>
    </row>
    <row r="9" spans="1:22" ht="15" thickBot="1">
      <c r="A9" s="2"/>
      <c r="B9" s="1" t="s">
        <v>2</v>
      </c>
      <c r="C9" s="3">
        <v>104.5</v>
      </c>
      <c r="H9">
        <v>28</v>
      </c>
      <c r="I9" s="8">
        <f t="shared" si="4"/>
        <v>4135.25</v>
      </c>
      <c r="J9" s="9">
        <f t="shared" si="2"/>
        <v>0.85</v>
      </c>
      <c r="K9" s="9">
        <f t="shared" si="5"/>
        <v>0.8</v>
      </c>
      <c r="L9" s="7">
        <f t="shared" si="3"/>
        <v>3697.4</v>
      </c>
      <c r="M9" s="7">
        <f t="shared" si="3"/>
        <v>3502.8</v>
      </c>
      <c r="N9" s="7">
        <f t="shared" si="3"/>
        <v>3113.6000000000004</v>
      </c>
      <c r="O9" s="7">
        <f t="shared" si="3"/>
        <v>2724.4</v>
      </c>
      <c r="P9" s="7">
        <f t="shared" si="3"/>
        <v>2335.2000000000003</v>
      </c>
      <c r="Q9" s="8"/>
      <c r="S9" s="22" t="s">
        <v>26</v>
      </c>
      <c r="T9" s="23">
        <v>0.45</v>
      </c>
      <c r="U9" s="23">
        <v>0.84</v>
      </c>
      <c r="V9" s="24">
        <v>19</v>
      </c>
    </row>
    <row r="10" spans="1:22" ht="15" thickBot="1">
      <c r="A10" s="2" t="s">
        <v>6</v>
      </c>
      <c r="B10" s="1" t="s">
        <v>1</v>
      </c>
      <c r="C10" s="4">
        <v>5551.22</v>
      </c>
      <c r="H10">
        <v>29</v>
      </c>
      <c r="I10" s="8">
        <f t="shared" si="4"/>
        <v>4329.8500000000004</v>
      </c>
      <c r="J10" s="9">
        <f t="shared" si="2"/>
        <v>0.89000000000000012</v>
      </c>
      <c r="K10" s="9">
        <f t="shared" si="5"/>
        <v>0.85000000000000009</v>
      </c>
      <c r="L10" s="7">
        <f t="shared" si="3"/>
        <v>3928.4875000000006</v>
      </c>
      <c r="M10" s="7">
        <f t="shared" si="3"/>
        <v>3721.7250000000004</v>
      </c>
      <c r="N10" s="7">
        <f t="shared" si="3"/>
        <v>3308.2000000000003</v>
      </c>
      <c r="O10" s="7">
        <f t="shared" si="3"/>
        <v>2894.6750000000002</v>
      </c>
      <c r="P10" s="7">
        <f t="shared" si="3"/>
        <v>2481.15</v>
      </c>
      <c r="Q10" s="8"/>
      <c r="S10" s="19" t="s">
        <v>27</v>
      </c>
      <c r="T10" s="20">
        <v>0.32</v>
      </c>
      <c r="U10" s="20">
        <v>0.96</v>
      </c>
      <c r="V10" s="21">
        <v>27</v>
      </c>
    </row>
    <row r="11" spans="1:22" ht="15" thickBot="1">
      <c r="A11" s="2"/>
      <c r="B11" s="1" t="s">
        <v>2</v>
      </c>
      <c r="C11" s="3">
        <v>96.6</v>
      </c>
      <c r="H11">
        <v>30</v>
      </c>
      <c r="I11" s="7">
        <f>$I$2*93%</f>
        <v>4524.45</v>
      </c>
      <c r="J11" s="9">
        <f t="shared" si="2"/>
        <v>0.92999999999999994</v>
      </c>
      <c r="K11" s="9">
        <f>K10+5%</f>
        <v>0.90000000000000013</v>
      </c>
      <c r="L11" s="7">
        <f t="shared" si="3"/>
        <v>4159.5750000000007</v>
      </c>
      <c r="M11" s="7">
        <f t="shared" si="3"/>
        <v>3940.6500000000005</v>
      </c>
      <c r="N11" s="7">
        <f t="shared" si="3"/>
        <v>3502.8000000000006</v>
      </c>
      <c r="O11" s="7">
        <f t="shared" si="3"/>
        <v>3064.9500000000003</v>
      </c>
      <c r="P11" s="7">
        <f t="shared" si="3"/>
        <v>2627.1000000000004</v>
      </c>
      <c r="Q11" s="8"/>
      <c r="S11" s="22" t="s">
        <v>28</v>
      </c>
      <c r="T11" s="23">
        <v>0.39</v>
      </c>
      <c r="U11" s="23">
        <v>0.83</v>
      </c>
      <c r="V11" s="24">
        <v>20</v>
      </c>
    </row>
    <row r="12" spans="1:22" ht="15" thickBot="1">
      <c r="A12" s="2" t="s">
        <v>7</v>
      </c>
      <c r="B12" s="1" t="s">
        <v>1</v>
      </c>
      <c r="C12" s="4">
        <v>5708.35</v>
      </c>
      <c r="H12">
        <v>31</v>
      </c>
      <c r="I12" s="8">
        <f>I11+($I$21-$I$11)/10</f>
        <v>4595.4789999999994</v>
      </c>
      <c r="J12" s="9">
        <f t="shared" si="2"/>
        <v>0.94459999999999988</v>
      </c>
      <c r="K12" s="9">
        <f>K11+5%</f>
        <v>0.95000000000000018</v>
      </c>
      <c r="L12" s="7">
        <f t="shared" si="3"/>
        <v>4390.6625000000013</v>
      </c>
      <c r="M12" s="7">
        <f t="shared" si="3"/>
        <v>4159.5750000000007</v>
      </c>
      <c r="N12" s="7">
        <f t="shared" si="3"/>
        <v>3697.4000000000005</v>
      </c>
      <c r="O12" s="7">
        <f t="shared" si="3"/>
        <v>3235.2250000000008</v>
      </c>
      <c r="P12" s="7">
        <f t="shared" si="3"/>
        <v>2773.0500000000006</v>
      </c>
      <c r="Q12" s="8"/>
      <c r="S12" s="19" t="s">
        <v>29</v>
      </c>
      <c r="T12" s="20">
        <v>0.27</v>
      </c>
      <c r="U12" s="20">
        <v>0.96</v>
      </c>
      <c r="V12" s="21">
        <v>29</v>
      </c>
    </row>
    <row r="13" spans="1:22" ht="15" thickBot="1">
      <c r="A13" s="2"/>
      <c r="B13" s="1" t="s">
        <v>2</v>
      </c>
      <c r="C13" s="3">
        <v>99.3</v>
      </c>
      <c r="H13">
        <v>32</v>
      </c>
      <c r="I13" s="8">
        <f t="shared" ref="I13:I20" si="6">I12+($I$21-$I$11)/10</f>
        <v>4666.5079999999989</v>
      </c>
      <c r="J13" s="9">
        <f t="shared" si="2"/>
        <v>0.95919999999999972</v>
      </c>
      <c r="K13" s="9">
        <f t="shared" ref="K13:K20" si="7">K12+5%</f>
        <v>1.0000000000000002</v>
      </c>
      <c r="L13" s="7">
        <f t="shared" si="3"/>
        <v>4621.7500000000009</v>
      </c>
      <c r="M13" s="7">
        <f t="shared" si="3"/>
        <v>4378.5000000000009</v>
      </c>
      <c r="N13" s="7">
        <f t="shared" si="3"/>
        <v>3892.0000000000009</v>
      </c>
      <c r="O13" s="7">
        <f t="shared" si="3"/>
        <v>3405.5000000000009</v>
      </c>
      <c r="P13" s="7">
        <f t="shared" si="3"/>
        <v>2919.0000000000005</v>
      </c>
      <c r="Q13" s="8"/>
      <c r="S13" s="22" t="s">
        <v>30</v>
      </c>
      <c r="T13" s="23">
        <v>0.33</v>
      </c>
      <c r="U13" s="23">
        <v>0.84</v>
      </c>
      <c r="V13" s="24">
        <v>22</v>
      </c>
    </row>
    <row r="14" spans="1:22" ht="15" thickBot="1">
      <c r="A14" s="2" t="s">
        <v>8</v>
      </c>
      <c r="B14" s="1" t="s">
        <v>1</v>
      </c>
      <c r="C14" s="4">
        <v>7687.82</v>
      </c>
      <c r="H14">
        <v>33</v>
      </c>
      <c r="I14" s="8">
        <f t="shared" si="6"/>
        <v>4737.5369999999984</v>
      </c>
      <c r="J14" s="9">
        <f t="shared" si="2"/>
        <v>0.97379999999999967</v>
      </c>
      <c r="K14" s="9">
        <f t="shared" si="7"/>
        <v>1.0500000000000003</v>
      </c>
      <c r="L14" s="7">
        <f t="shared" si="3"/>
        <v>4852.8375000000015</v>
      </c>
      <c r="M14" s="7">
        <f t="shared" si="3"/>
        <v>4597.4250000000011</v>
      </c>
      <c r="N14" s="7">
        <f t="shared" si="3"/>
        <v>4086.6000000000008</v>
      </c>
      <c r="O14" s="7">
        <f t="shared" si="3"/>
        <v>3575.775000000001</v>
      </c>
      <c r="P14" s="7">
        <f t="shared" si="3"/>
        <v>3064.9500000000007</v>
      </c>
      <c r="Q14" s="8"/>
      <c r="S14" s="19" t="s">
        <v>31</v>
      </c>
      <c r="T14" s="20">
        <v>0.25</v>
      </c>
      <c r="U14" s="20">
        <v>0.96</v>
      </c>
      <c r="V14" s="21">
        <v>30</v>
      </c>
    </row>
    <row r="15" spans="1:22" ht="15" thickBot="1">
      <c r="C15" s="3">
        <v>133.69999999999999</v>
      </c>
      <c r="H15">
        <v>34</v>
      </c>
      <c r="I15" s="8">
        <f t="shared" si="6"/>
        <v>4808.565999999998</v>
      </c>
      <c r="J15" s="9">
        <f t="shared" si="2"/>
        <v>0.98839999999999961</v>
      </c>
      <c r="K15" s="9">
        <f t="shared" si="7"/>
        <v>1.1000000000000003</v>
      </c>
      <c r="L15" s="7">
        <f t="shared" si="3"/>
        <v>5083.9250000000011</v>
      </c>
      <c r="M15" s="7">
        <f t="shared" si="3"/>
        <v>4816.3500000000013</v>
      </c>
      <c r="N15" s="7">
        <f t="shared" si="3"/>
        <v>4281.2000000000016</v>
      </c>
      <c r="O15" s="7">
        <f t="shared" si="3"/>
        <v>3746.0500000000011</v>
      </c>
      <c r="P15" s="7">
        <f t="shared" si="3"/>
        <v>3210.900000000001</v>
      </c>
      <c r="Q15" s="8"/>
      <c r="S15" s="22" t="s">
        <v>32</v>
      </c>
      <c r="T15" s="23">
        <v>0.32</v>
      </c>
      <c r="U15" s="23">
        <v>0.86</v>
      </c>
      <c r="V15" s="24">
        <v>23</v>
      </c>
    </row>
    <row r="16" spans="1:22">
      <c r="H16">
        <v>35</v>
      </c>
      <c r="I16" s="8">
        <f t="shared" si="6"/>
        <v>4879.5949999999975</v>
      </c>
      <c r="J16" s="9">
        <f t="shared" si="2"/>
        <v>1.0029999999999994</v>
      </c>
      <c r="K16" s="9">
        <f t="shared" si="7"/>
        <v>1.1500000000000004</v>
      </c>
      <c r="L16" s="7">
        <f t="shared" si="3"/>
        <v>5315.0125000000016</v>
      </c>
      <c r="M16" s="7">
        <f t="shared" si="3"/>
        <v>5035.2750000000015</v>
      </c>
      <c r="N16" s="7">
        <f t="shared" si="3"/>
        <v>4475.8000000000011</v>
      </c>
      <c r="O16" s="7">
        <f t="shared" si="3"/>
        <v>3916.3250000000012</v>
      </c>
      <c r="P16" s="7">
        <f t="shared" si="3"/>
        <v>3356.8500000000008</v>
      </c>
      <c r="Q16" s="8"/>
      <c r="T16" t="s">
        <v>33</v>
      </c>
      <c r="U16" t="s">
        <v>34</v>
      </c>
    </row>
    <row r="17" spans="8:21">
      <c r="H17">
        <v>36</v>
      </c>
      <c r="I17" s="8">
        <f t="shared" si="6"/>
        <v>4950.6239999999971</v>
      </c>
      <c r="J17" s="9">
        <f t="shared" si="2"/>
        <v>1.0175999999999994</v>
      </c>
      <c r="K17" s="9">
        <f t="shared" si="7"/>
        <v>1.2000000000000004</v>
      </c>
      <c r="L17" s="7">
        <f t="shared" si="3"/>
        <v>5546.1000000000022</v>
      </c>
      <c r="M17" s="7">
        <f t="shared" si="3"/>
        <v>5254.2000000000016</v>
      </c>
      <c r="N17" s="7">
        <f t="shared" si="3"/>
        <v>4670.4000000000015</v>
      </c>
      <c r="O17" s="7">
        <f t="shared" si="3"/>
        <v>4086.6000000000013</v>
      </c>
      <c r="P17" s="7">
        <f t="shared" si="3"/>
        <v>3502.8000000000011</v>
      </c>
      <c r="Q17" s="8"/>
      <c r="S17">
        <v>0</v>
      </c>
      <c r="T17" s="11">
        <f>T15</f>
        <v>0.32</v>
      </c>
      <c r="U17" s="11">
        <f>T14</f>
        <v>0.25</v>
      </c>
    </row>
    <row r="18" spans="8:21">
      <c r="H18">
        <v>37</v>
      </c>
      <c r="I18" s="8">
        <f t="shared" si="6"/>
        <v>5021.6529999999966</v>
      </c>
      <c r="J18" s="9">
        <f t="shared" si="2"/>
        <v>1.0321999999999993</v>
      </c>
      <c r="K18" s="9">
        <f t="shared" si="7"/>
        <v>1.2500000000000004</v>
      </c>
      <c r="L18" s="7">
        <f t="shared" si="3"/>
        <v>5777.1875000000018</v>
      </c>
      <c r="M18" s="7">
        <f t="shared" si="3"/>
        <v>5473.1250000000018</v>
      </c>
      <c r="N18" s="7">
        <f t="shared" si="3"/>
        <v>4865.0000000000018</v>
      </c>
      <c r="O18" s="7">
        <f t="shared" si="3"/>
        <v>4256.8750000000018</v>
      </c>
      <c r="P18" s="7">
        <f t="shared" si="3"/>
        <v>3648.7500000000014</v>
      </c>
      <c r="Q18" s="8"/>
      <c r="S18">
        <v>25</v>
      </c>
      <c r="T18" s="11">
        <f>T13</f>
        <v>0.33</v>
      </c>
      <c r="U18" s="11">
        <f>T12</f>
        <v>0.27</v>
      </c>
    </row>
    <row r="19" spans="8:21">
      <c r="H19">
        <v>38</v>
      </c>
      <c r="I19" s="8">
        <f t="shared" si="6"/>
        <v>5092.6819999999962</v>
      </c>
      <c r="J19" s="9">
        <f t="shared" si="2"/>
        <v>1.0467999999999993</v>
      </c>
      <c r="K19" s="9">
        <f t="shared" si="7"/>
        <v>1.3000000000000005</v>
      </c>
      <c r="L19" s="7">
        <f t="shared" si="3"/>
        <v>6008.2750000000024</v>
      </c>
      <c r="M19" s="7">
        <f t="shared" si="3"/>
        <v>5692.050000000002</v>
      </c>
      <c r="N19" s="7">
        <f t="shared" si="3"/>
        <v>5059.6000000000022</v>
      </c>
      <c r="O19" s="7">
        <f t="shared" si="3"/>
        <v>4427.1500000000015</v>
      </c>
      <c r="P19" s="7">
        <f t="shared" si="3"/>
        <v>3794.7000000000016</v>
      </c>
      <c r="Q19" s="8"/>
      <c r="S19">
        <v>35</v>
      </c>
      <c r="T19" s="11">
        <f>T11</f>
        <v>0.39</v>
      </c>
      <c r="U19" s="11">
        <f>T10</f>
        <v>0.32</v>
      </c>
    </row>
    <row r="20" spans="8:21">
      <c r="H20">
        <v>39</v>
      </c>
      <c r="I20" s="8">
        <f t="shared" si="6"/>
        <v>5163.7109999999957</v>
      </c>
      <c r="J20" s="9">
        <f t="shared" si="2"/>
        <v>1.061399999999999</v>
      </c>
      <c r="K20" s="9">
        <f t="shared" si="7"/>
        <v>1.3500000000000005</v>
      </c>
      <c r="L20" s="7">
        <f t="shared" si="3"/>
        <v>6239.3625000000029</v>
      </c>
      <c r="M20" s="7">
        <f t="shared" si="3"/>
        <v>5910.9750000000022</v>
      </c>
      <c r="N20" s="7">
        <f t="shared" si="3"/>
        <v>5254.2000000000016</v>
      </c>
      <c r="O20" s="7">
        <f t="shared" si="3"/>
        <v>4597.425000000002</v>
      </c>
      <c r="P20" s="7">
        <f t="shared" si="3"/>
        <v>3940.6500000000015</v>
      </c>
      <c r="Q20" s="8"/>
      <c r="S20">
        <v>45</v>
      </c>
      <c r="T20" s="11">
        <f>T9</f>
        <v>0.45</v>
      </c>
      <c r="U20" s="11">
        <f>T8</f>
        <v>0.36</v>
      </c>
    </row>
    <row r="21" spans="8:21">
      <c r="H21">
        <v>40</v>
      </c>
      <c r="I21" s="7">
        <f>$I$2*107.6%</f>
        <v>5234.7399999999989</v>
      </c>
      <c r="J21" s="9">
        <f t="shared" si="2"/>
        <v>1.0759999999999998</v>
      </c>
      <c r="K21" s="9">
        <f>K20</f>
        <v>1.3500000000000005</v>
      </c>
      <c r="L21" s="7">
        <f t="shared" si="3"/>
        <v>6239.3625000000029</v>
      </c>
      <c r="M21" s="7">
        <f t="shared" si="3"/>
        <v>5910.9750000000022</v>
      </c>
      <c r="N21" s="7">
        <f t="shared" si="3"/>
        <v>5254.2000000000016</v>
      </c>
      <c r="O21" s="7">
        <f t="shared" si="3"/>
        <v>4597.425000000002</v>
      </c>
      <c r="P21" s="7">
        <f t="shared" si="3"/>
        <v>3940.6500000000015</v>
      </c>
      <c r="Q21" s="8"/>
      <c r="S21">
        <v>55</v>
      </c>
    </row>
    <row r="22" spans="8:21">
      <c r="H22">
        <v>41</v>
      </c>
      <c r="I22" s="8">
        <f>I21+($I$31-$I$21)/10</f>
        <v>5219.6584999999986</v>
      </c>
      <c r="J22" s="9">
        <f t="shared" si="2"/>
        <v>1.0728999999999997</v>
      </c>
      <c r="K22" s="9">
        <f>K21</f>
        <v>1.3500000000000005</v>
      </c>
      <c r="L22" s="7">
        <f t="shared" si="3"/>
        <v>6239.3625000000029</v>
      </c>
      <c r="M22" s="7">
        <f t="shared" si="3"/>
        <v>5910.9750000000022</v>
      </c>
      <c r="N22" s="7">
        <f t="shared" si="3"/>
        <v>5254.2000000000016</v>
      </c>
      <c r="O22" s="7">
        <f t="shared" si="3"/>
        <v>4597.425000000002</v>
      </c>
      <c r="P22" s="7">
        <f t="shared" si="3"/>
        <v>3940.6500000000015</v>
      </c>
      <c r="Q22" s="8"/>
    </row>
    <row r="23" spans="8:21">
      <c r="H23">
        <v>42</v>
      </c>
      <c r="I23" s="8">
        <f>I22+($I$31-$I$21)/10</f>
        <v>5204.5769999999984</v>
      </c>
      <c r="J23" s="9">
        <f t="shared" si="2"/>
        <v>1.0697999999999996</v>
      </c>
      <c r="K23" s="9">
        <f t="shared" ref="K23:K26" si="8">K22</f>
        <v>1.3500000000000005</v>
      </c>
      <c r="L23" s="7">
        <f t="shared" si="3"/>
        <v>6239.3625000000029</v>
      </c>
      <c r="M23" s="7">
        <f t="shared" si="3"/>
        <v>5910.9750000000022</v>
      </c>
      <c r="N23" s="7">
        <f t="shared" si="3"/>
        <v>5254.2000000000016</v>
      </c>
      <c r="O23" s="7">
        <f t="shared" si="3"/>
        <v>4597.425000000002</v>
      </c>
      <c r="P23" s="7">
        <f t="shared" si="3"/>
        <v>3940.6500000000015</v>
      </c>
      <c r="Q23" s="8"/>
    </row>
    <row r="24" spans="8:21">
      <c r="H24">
        <v>43</v>
      </c>
      <c r="I24" s="8">
        <f t="shared" ref="I24:I30" si="9">I23+($I$31-$I$21)/10</f>
        <v>5189.4954999999982</v>
      </c>
      <c r="J24" s="9">
        <f t="shared" si="2"/>
        <v>1.0666999999999995</v>
      </c>
      <c r="K24" s="9">
        <f t="shared" si="8"/>
        <v>1.3500000000000005</v>
      </c>
      <c r="L24" s="7">
        <f t="shared" si="3"/>
        <v>6239.3625000000029</v>
      </c>
      <c r="M24" s="7">
        <f t="shared" si="3"/>
        <v>5910.9750000000022</v>
      </c>
      <c r="N24" s="7">
        <f t="shared" si="3"/>
        <v>5254.2000000000016</v>
      </c>
      <c r="O24" s="7">
        <f t="shared" si="3"/>
        <v>4597.425000000002</v>
      </c>
      <c r="P24" s="7">
        <f t="shared" si="3"/>
        <v>3940.6500000000015</v>
      </c>
      <c r="Q24" s="8"/>
    </row>
    <row r="25" spans="8:21">
      <c r="H25">
        <v>44</v>
      </c>
      <c r="I25" s="8">
        <f t="shared" si="9"/>
        <v>5174.4139999999979</v>
      </c>
      <c r="J25" s="9">
        <f t="shared" si="2"/>
        <v>1.0635999999999997</v>
      </c>
      <c r="K25" s="9">
        <f t="shared" si="8"/>
        <v>1.3500000000000005</v>
      </c>
      <c r="L25" s="7">
        <f t="shared" si="3"/>
        <v>6239.3625000000029</v>
      </c>
      <c r="M25" s="7">
        <f t="shared" si="3"/>
        <v>5910.9750000000022</v>
      </c>
      <c r="N25" s="7">
        <f t="shared" si="3"/>
        <v>5254.2000000000016</v>
      </c>
      <c r="O25" s="7">
        <f t="shared" si="3"/>
        <v>4597.425000000002</v>
      </c>
      <c r="P25" s="7">
        <f t="shared" si="3"/>
        <v>3940.6500000000015</v>
      </c>
      <c r="Q25" s="8"/>
      <c r="S25">
        <v>20</v>
      </c>
      <c r="T25" s="25">
        <v>0.28999999999999998</v>
      </c>
    </row>
    <row r="26" spans="8:21">
      <c r="H26">
        <v>45</v>
      </c>
      <c r="I26" s="8">
        <f t="shared" si="9"/>
        <v>5159.3324999999977</v>
      </c>
      <c r="J26" s="9">
        <f t="shared" si="2"/>
        <v>1.0604999999999996</v>
      </c>
      <c r="K26" s="9">
        <f t="shared" si="8"/>
        <v>1.3500000000000005</v>
      </c>
      <c r="L26" s="7">
        <f t="shared" si="3"/>
        <v>6239.3625000000029</v>
      </c>
      <c r="M26" s="7">
        <f t="shared" si="3"/>
        <v>5910.9750000000022</v>
      </c>
      <c r="N26" s="7">
        <f t="shared" si="3"/>
        <v>5254.2000000000016</v>
      </c>
      <c r="O26" s="7">
        <f t="shared" si="3"/>
        <v>4597.425000000002</v>
      </c>
      <c r="P26" s="7">
        <f t="shared" si="3"/>
        <v>3940.6500000000015</v>
      </c>
      <c r="Q26" s="8"/>
      <c r="S26">
        <f>S25+5</f>
        <v>25</v>
      </c>
      <c r="T26" s="25">
        <v>0.29499999999999998</v>
      </c>
    </row>
    <row r="27" spans="8:21">
      <c r="H27">
        <v>46</v>
      </c>
      <c r="I27" s="8">
        <f t="shared" si="9"/>
        <v>5144.2509999999975</v>
      </c>
      <c r="J27" s="9">
        <f t="shared" si="2"/>
        <v>1.0573999999999995</v>
      </c>
      <c r="K27" s="9">
        <f>K26-5%</f>
        <v>1.3000000000000005</v>
      </c>
      <c r="L27" s="7">
        <f t="shared" si="3"/>
        <v>6008.2750000000024</v>
      </c>
      <c r="M27" s="7">
        <f t="shared" si="3"/>
        <v>5692.050000000002</v>
      </c>
      <c r="N27" s="7">
        <f t="shared" si="3"/>
        <v>5059.6000000000022</v>
      </c>
      <c r="O27" s="7">
        <f t="shared" si="3"/>
        <v>4427.1500000000015</v>
      </c>
      <c r="P27" s="7">
        <f t="shared" si="3"/>
        <v>3794.7000000000016</v>
      </c>
      <c r="Q27" s="8"/>
      <c r="S27">
        <f t="shared" ref="S27:S34" si="10">S26+5</f>
        <v>30</v>
      </c>
      <c r="T27" s="25">
        <v>0.3</v>
      </c>
    </row>
    <row r="28" spans="8:21">
      <c r="H28">
        <v>47</v>
      </c>
      <c r="I28" s="8">
        <f t="shared" si="9"/>
        <v>5129.1694999999972</v>
      </c>
      <c r="J28" s="9">
        <f t="shared" si="2"/>
        <v>1.0542999999999993</v>
      </c>
      <c r="K28" s="9">
        <f t="shared" ref="K28:K32" si="11">K27-5%</f>
        <v>1.2500000000000004</v>
      </c>
      <c r="L28" s="7">
        <f t="shared" si="3"/>
        <v>5777.1875000000018</v>
      </c>
      <c r="M28" s="7">
        <f t="shared" si="3"/>
        <v>5473.1250000000018</v>
      </c>
      <c r="N28" s="7">
        <f t="shared" si="3"/>
        <v>4865.0000000000018</v>
      </c>
      <c r="O28" s="7">
        <f t="shared" si="3"/>
        <v>4256.8750000000018</v>
      </c>
      <c r="P28" s="7">
        <f t="shared" si="3"/>
        <v>3648.7500000000014</v>
      </c>
      <c r="Q28" s="8"/>
      <c r="S28">
        <f t="shared" si="10"/>
        <v>35</v>
      </c>
      <c r="T28" s="25">
        <v>0.33</v>
      </c>
    </row>
    <row r="29" spans="8:21">
      <c r="H29">
        <v>48</v>
      </c>
      <c r="I29" s="8">
        <f t="shared" si="9"/>
        <v>5114.087999999997</v>
      </c>
      <c r="J29" s="9">
        <f t="shared" si="2"/>
        <v>1.0511999999999995</v>
      </c>
      <c r="K29" s="9">
        <f t="shared" si="11"/>
        <v>1.2000000000000004</v>
      </c>
      <c r="L29" s="7">
        <f t="shared" si="3"/>
        <v>5546.1000000000022</v>
      </c>
      <c r="M29" s="7">
        <f t="shared" si="3"/>
        <v>5254.2000000000016</v>
      </c>
      <c r="N29" s="7">
        <f t="shared" si="3"/>
        <v>4670.4000000000015</v>
      </c>
      <c r="O29" s="7">
        <f t="shared" si="3"/>
        <v>4086.6000000000013</v>
      </c>
      <c r="P29" s="7">
        <f t="shared" si="3"/>
        <v>3502.8000000000011</v>
      </c>
      <c r="Q29" s="8"/>
      <c r="S29">
        <f t="shared" si="10"/>
        <v>40</v>
      </c>
      <c r="T29" s="25">
        <v>0.36</v>
      </c>
    </row>
    <row r="30" spans="8:21">
      <c r="H30">
        <v>49</v>
      </c>
      <c r="I30" s="8">
        <f t="shared" si="9"/>
        <v>5099.0064999999968</v>
      </c>
      <c r="J30" s="9">
        <f t="shared" si="2"/>
        <v>1.0480999999999994</v>
      </c>
      <c r="K30" s="9">
        <f t="shared" si="11"/>
        <v>1.1500000000000004</v>
      </c>
      <c r="L30" s="7">
        <f t="shared" si="3"/>
        <v>5315.0125000000016</v>
      </c>
      <c r="M30" s="7">
        <f t="shared" si="3"/>
        <v>5035.2750000000015</v>
      </c>
      <c r="N30" s="7">
        <f t="shared" si="3"/>
        <v>4475.8000000000011</v>
      </c>
      <c r="O30" s="7">
        <f t="shared" si="3"/>
        <v>3916.3250000000012</v>
      </c>
      <c r="P30" s="7">
        <f t="shared" si="3"/>
        <v>3356.8500000000008</v>
      </c>
      <c r="Q30" s="8"/>
      <c r="S30">
        <f t="shared" si="10"/>
        <v>45</v>
      </c>
      <c r="T30" s="25">
        <v>0.375</v>
      </c>
    </row>
    <row r="31" spans="8:21">
      <c r="H31">
        <v>50</v>
      </c>
      <c r="I31" s="7">
        <f>$I$2*104.5%</f>
        <v>5083.9249999999993</v>
      </c>
      <c r="J31" s="9">
        <f t="shared" si="2"/>
        <v>1.0449999999999999</v>
      </c>
      <c r="K31" s="9">
        <f t="shared" si="11"/>
        <v>1.1000000000000003</v>
      </c>
      <c r="L31" s="7">
        <f t="shared" si="3"/>
        <v>5083.9250000000011</v>
      </c>
      <c r="M31" s="7">
        <f t="shared" si="3"/>
        <v>4816.3500000000013</v>
      </c>
      <c r="N31" s="7">
        <f t="shared" si="3"/>
        <v>4281.2000000000016</v>
      </c>
      <c r="O31" s="7">
        <f t="shared" si="3"/>
        <v>3746.0500000000011</v>
      </c>
      <c r="P31" s="7">
        <f t="shared" si="3"/>
        <v>3210.900000000001</v>
      </c>
      <c r="Q31" s="8"/>
      <c r="S31">
        <f t="shared" si="10"/>
        <v>50</v>
      </c>
      <c r="T31" s="25">
        <v>0.41</v>
      </c>
    </row>
    <row r="32" spans="8:21">
      <c r="H32">
        <v>51</v>
      </c>
      <c r="I32" s="8">
        <f>I31+($I$38-$I$31)/6</f>
        <v>5020.6799999999994</v>
      </c>
      <c r="J32" s="9">
        <f t="shared" si="2"/>
        <v>1.0319999999999998</v>
      </c>
      <c r="K32" s="9">
        <f t="shared" si="11"/>
        <v>1.0500000000000003</v>
      </c>
      <c r="L32" s="7">
        <f t="shared" si="3"/>
        <v>4852.8375000000015</v>
      </c>
      <c r="M32" s="7">
        <f t="shared" si="3"/>
        <v>4597.4250000000011</v>
      </c>
      <c r="N32" s="7">
        <f t="shared" si="3"/>
        <v>4086.6000000000008</v>
      </c>
      <c r="O32" s="7">
        <f t="shared" si="3"/>
        <v>3575.775000000001</v>
      </c>
      <c r="P32" s="7">
        <f t="shared" si="3"/>
        <v>3064.9500000000007</v>
      </c>
      <c r="Q32" s="8"/>
      <c r="S32">
        <f t="shared" si="10"/>
        <v>55</v>
      </c>
      <c r="T32" s="25">
        <v>0.45</v>
      </c>
    </row>
    <row r="33" spans="8:20">
      <c r="H33">
        <v>52</v>
      </c>
      <c r="I33" s="8">
        <f t="shared" ref="I33:I37" si="12">I32+($I$38-$I$31)/6</f>
        <v>4957.4349999999995</v>
      </c>
      <c r="J33" s="9">
        <f t="shared" si="2"/>
        <v>1.0189999999999999</v>
      </c>
      <c r="K33" s="9">
        <f>K32-2.5%</f>
        <v>1.0250000000000004</v>
      </c>
      <c r="L33" s="7">
        <f t="shared" si="3"/>
        <v>4737.2937500000016</v>
      </c>
      <c r="M33" s="7">
        <f t="shared" si="3"/>
        <v>4487.9625000000015</v>
      </c>
      <c r="N33" s="7">
        <f t="shared" si="3"/>
        <v>3989.3000000000015</v>
      </c>
      <c r="O33" s="7">
        <f t="shared" si="3"/>
        <v>3490.6375000000012</v>
      </c>
      <c r="P33" s="7">
        <f t="shared" si="3"/>
        <v>2991.9750000000008</v>
      </c>
      <c r="Q33" s="8"/>
      <c r="S33">
        <f t="shared" si="10"/>
        <v>60</v>
      </c>
      <c r="T33" s="25">
        <v>0.49</v>
      </c>
    </row>
    <row r="34" spans="8:20">
      <c r="H34">
        <v>53</v>
      </c>
      <c r="I34" s="8">
        <f t="shared" si="12"/>
        <v>4894.1899999999996</v>
      </c>
      <c r="J34" s="9">
        <f t="shared" si="2"/>
        <v>1.006</v>
      </c>
      <c r="K34" s="9">
        <f t="shared" ref="K34:K38" si="13">K33-2.5%</f>
        <v>1.0000000000000004</v>
      </c>
      <c r="L34" s="7">
        <f t="shared" si="3"/>
        <v>4621.7500000000018</v>
      </c>
      <c r="M34" s="7">
        <f t="shared" si="3"/>
        <v>4378.5000000000018</v>
      </c>
      <c r="N34" s="7">
        <f t="shared" si="3"/>
        <v>3892.0000000000018</v>
      </c>
      <c r="O34" s="7">
        <f t="shared" si="3"/>
        <v>3405.5000000000014</v>
      </c>
      <c r="P34" s="7">
        <f t="shared" si="3"/>
        <v>2919.0000000000014</v>
      </c>
      <c r="Q34" s="8"/>
      <c r="S34">
        <f t="shared" si="10"/>
        <v>65</v>
      </c>
      <c r="T34" s="25">
        <v>0.52500000000000002</v>
      </c>
    </row>
    <row r="35" spans="8:20">
      <c r="H35">
        <v>54</v>
      </c>
      <c r="I35" s="8">
        <f t="shared" si="12"/>
        <v>4830.9449999999997</v>
      </c>
      <c r="J35" s="9">
        <f t="shared" si="2"/>
        <v>0.99299999999999999</v>
      </c>
      <c r="K35" s="9">
        <f t="shared" si="13"/>
        <v>0.97500000000000042</v>
      </c>
      <c r="L35" s="7">
        <f t="shared" si="3"/>
        <v>4506.206250000002</v>
      </c>
      <c r="M35" s="7">
        <f t="shared" si="3"/>
        <v>4269.0375000000022</v>
      </c>
      <c r="N35" s="7">
        <f t="shared" si="3"/>
        <v>3794.7000000000016</v>
      </c>
      <c r="O35" s="7">
        <f t="shared" si="3"/>
        <v>3320.3625000000015</v>
      </c>
      <c r="P35" s="7">
        <f t="shared" si="3"/>
        <v>2846.0250000000015</v>
      </c>
      <c r="Q35" s="8"/>
    </row>
    <row r="36" spans="8:20">
      <c r="H36">
        <v>55</v>
      </c>
      <c r="I36" s="8">
        <f t="shared" si="12"/>
        <v>4767.7</v>
      </c>
      <c r="J36" s="9">
        <f t="shared" si="2"/>
        <v>0.98</v>
      </c>
      <c r="K36" s="9">
        <f t="shared" si="13"/>
        <v>0.9500000000000004</v>
      </c>
      <c r="L36" s="7">
        <f t="shared" si="3"/>
        <v>4390.6625000000022</v>
      </c>
      <c r="M36" s="7">
        <f t="shared" si="3"/>
        <v>4159.5750000000016</v>
      </c>
      <c r="N36" s="7">
        <f t="shared" si="3"/>
        <v>3697.4000000000015</v>
      </c>
      <c r="O36" s="7">
        <f t="shared" si="3"/>
        <v>3235.2250000000013</v>
      </c>
      <c r="P36" s="7">
        <f t="shared" si="3"/>
        <v>2773.0500000000011</v>
      </c>
      <c r="Q36" s="8"/>
    </row>
    <row r="37" spans="8:20">
      <c r="H37">
        <v>56</v>
      </c>
      <c r="I37" s="8">
        <f t="shared" si="12"/>
        <v>4704.4549999999999</v>
      </c>
      <c r="J37" s="9">
        <f t="shared" si="2"/>
        <v>0.96699999999999997</v>
      </c>
      <c r="K37" s="9">
        <f t="shared" si="13"/>
        <v>0.92500000000000038</v>
      </c>
      <c r="L37" s="7">
        <f t="shared" si="3"/>
        <v>4275.1187500000015</v>
      </c>
      <c r="M37" s="7">
        <f t="shared" si="3"/>
        <v>4050.1125000000015</v>
      </c>
      <c r="N37" s="7">
        <f t="shared" si="3"/>
        <v>3600.1000000000013</v>
      </c>
      <c r="O37" s="7">
        <f t="shared" si="3"/>
        <v>3150.0875000000015</v>
      </c>
      <c r="P37" s="7">
        <f t="shared" si="3"/>
        <v>2700.0750000000012</v>
      </c>
      <c r="Q37" s="8"/>
    </row>
    <row r="38" spans="8:20">
      <c r="H38">
        <v>57</v>
      </c>
      <c r="I38" s="7">
        <f>$I$2*96.7%</f>
        <v>4704.4550000000008</v>
      </c>
      <c r="J38" s="9">
        <f t="shared" si="2"/>
        <v>0.96700000000000019</v>
      </c>
      <c r="K38" s="9">
        <f t="shared" si="13"/>
        <v>0.90000000000000036</v>
      </c>
      <c r="L38" s="7">
        <f t="shared" si="3"/>
        <v>4159.5750000000016</v>
      </c>
      <c r="M38" s="7">
        <f t="shared" si="3"/>
        <v>3940.6500000000015</v>
      </c>
      <c r="N38" s="7">
        <f t="shared" si="3"/>
        <v>3502.8000000000015</v>
      </c>
      <c r="O38" s="7">
        <f t="shared" si="3"/>
        <v>3064.9500000000012</v>
      </c>
      <c r="P38" s="7">
        <f t="shared" si="3"/>
        <v>2627.1000000000008</v>
      </c>
      <c r="Q38" s="8"/>
    </row>
    <row r="39" spans="8:20">
      <c r="H39">
        <v>58</v>
      </c>
      <c r="I39" s="8">
        <f>I38+($I$44-$I$38)/6</f>
        <v>4725.5366666666669</v>
      </c>
      <c r="J39" s="9">
        <f t="shared" si="2"/>
        <v>0.97133333333333338</v>
      </c>
      <c r="K39" s="9">
        <f>K38</f>
        <v>0.90000000000000036</v>
      </c>
      <c r="L39" s="7">
        <f t="shared" si="3"/>
        <v>4159.5750000000016</v>
      </c>
      <c r="M39" s="7">
        <f t="shared" si="3"/>
        <v>3940.6500000000015</v>
      </c>
      <c r="N39" s="7">
        <f t="shared" si="3"/>
        <v>3502.8000000000015</v>
      </c>
      <c r="O39" s="7">
        <f t="shared" si="3"/>
        <v>3064.9500000000012</v>
      </c>
      <c r="P39" s="7">
        <f t="shared" si="3"/>
        <v>2627.1000000000008</v>
      </c>
      <c r="Q39" s="8"/>
    </row>
    <row r="40" spans="8:20">
      <c r="H40">
        <v>59</v>
      </c>
      <c r="I40" s="8">
        <f>I39+($I$44-$I$38)/6</f>
        <v>4746.6183333333338</v>
      </c>
      <c r="J40" s="9">
        <f t="shared" si="2"/>
        <v>0.97566666666666679</v>
      </c>
      <c r="K40" s="9">
        <f t="shared" ref="K40:K46" si="14">K39</f>
        <v>0.90000000000000036</v>
      </c>
      <c r="L40" s="7">
        <f t="shared" si="3"/>
        <v>4159.5750000000016</v>
      </c>
      <c r="M40" s="7">
        <f t="shared" si="3"/>
        <v>3940.6500000000015</v>
      </c>
      <c r="N40" s="7">
        <f t="shared" si="3"/>
        <v>3502.8000000000015</v>
      </c>
      <c r="O40" s="7">
        <f t="shared" si="3"/>
        <v>3064.9500000000012</v>
      </c>
      <c r="P40" s="7">
        <f t="shared" si="3"/>
        <v>2627.1000000000008</v>
      </c>
      <c r="Q40" s="8"/>
    </row>
    <row r="41" spans="8:20">
      <c r="H41">
        <v>60</v>
      </c>
      <c r="I41" s="8">
        <f t="shared" ref="I41:I43" si="15">I40+($I$44-$I$38)/6</f>
        <v>4767.7000000000007</v>
      </c>
      <c r="J41" s="9">
        <f t="shared" si="2"/>
        <v>0.9800000000000002</v>
      </c>
      <c r="K41" s="9">
        <f t="shared" si="14"/>
        <v>0.90000000000000036</v>
      </c>
      <c r="L41" s="7">
        <f t="shared" si="3"/>
        <v>4159.5750000000016</v>
      </c>
      <c r="M41" s="7">
        <f t="shared" si="3"/>
        <v>3940.6500000000015</v>
      </c>
      <c r="N41" s="7">
        <f t="shared" si="3"/>
        <v>3502.8000000000015</v>
      </c>
      <c r="O41" s="7">
        <f t="shared" si="3"/>
        <v>3064.9500000000012</v>
      </c>
      <c r="P41" s="7">
        <f t="shared" si="3"/>
        <v>2627.1000000000008</v>
      </c>
      <c r="Q41" s="8"/>
    </row>
    <row r="42" spans="8:20">
      <c r="H42">
        <v>61</v>
      </c>
      <c r="I42" s="8">
        <f t="shared" si="15"/>
        <v>4788.7816666666677</v>
      </c>
      <c r="J42" s="9">
        <f t="shared" si="2"/>
        <v>0.9843333333333335</v>
      </c>
      <c r="K42" s="9">
        <f t="shared" si="14"/>
        <v>0.90000000000000036</v>
      </c>
      <c r="L42" s="7">
        <f t="shared" si="3"/>
        <v>4159.5750000000016</v>
      </c>
      <c r="M42" s="7">
        <f t="shared" si="3"/>
        <v>3940.6500000000015</v>
      </c>
      <c r="N42" s="7">
        <f t="shared" si="3"/>
        <v>3502.8000000000015</v>
      </c>
      <c r="O42" s="7">
        <f t="shared" si="3"/>
        <v>3064.9500000000012</v>
      </c>
      <c r="P42" s="7">
        <f t="shared" si="3"/>
        <v>2627.1000000000008</v>
      </c>
      <c r="Q42" s="8"/>
    </row>
    <row r="43" spans="8:20">
      <c r="H43">
        <v>62</v>
      </c>
      <c r="I43" s="8">
        <f t="shared" si="15"/>
        <v>4809.8633333333346</v>
      </c>
      <c r="J43" s="9">
        <f t="shared" si="2"/>
        <v>0.98866666666666692</v>
      </c>
      <c r="K43" s="9">
        <f t="shared" si="14"/>
        <v>0.90000000000000036</v>
      </c>
      <c r="L43" s="7">
        <f t="shared" si="3"/>
        <v>4159.5750000000016</v>
      </c>
      <c r="M43" s="7">
        <f t="shared" si="3"/>
        <v>3940.6500000000015</v>
      </c>
      <c r="N43" s="7">
        <f t="shared" si="3"/>
        <v>3502.8000000000015</v>
      </c>
      <c r="O43" s="7">
        <f t="shared" si="3"/>
        <v>3064.9500000000012</v>
      </c>
      <c r="P43" s="7">
        <f t="shared" si="3"/>
        <v>2627.1000000000008</v>
      </c>
      <c r="Q43" s="8"/>
    </row>
    <row r="44" spans="8:20">
      <c r="H44">
        <v>63</v>
      </c>
      <c r="I44" s="7">
        <f>$I$2*99.3%</f>
        <v>4830.9449999999997</v>
      </c>
      <c r="J44" s="9">
        <f t="shared" si="2"/>
        <v>0.99299999999999999</v>
      </c>
      <c r="K44" s="9">
        <f t="shared" si="14"/>
        <v>0.90000000000000036</v>
      </c>
      <c r="L44" s="7">
        <f t="shared" si="3"/>
        <v>4159.5750000000016</v>
      </c>
      <c r="M44" s="7">
        <f t="shared" si="3"/>
        <v>3940.6500000000015</v>
      </c>
      <c r="N44" s="7">
        <f t="shared" si="3"/>
        <v>3502.8000000000015</v>
      </c>
      <c r="O44" s="7">
        <f t="shared" si="3"/>
        <v>3064.9500000000012</v>
      </c>
      <c r="P44" s="7">
        <f t="shared" si="3"/>
        <v>2627.1000000000008</v>
      </c>
      <c r="Q44" s="8"/>
    </row>
    <row r="45" spans="8:20">
      <c r="H45">
        <v>64</v>
      </c>
      <c r="I45" s="8">
        <f>I44</f>
        <v>4830.9449999999997</v>
      </c>
      <c r="J45" s="9">
        <f t="shared" si="2"/>
        <v>0.99299999999999999</v>
      </c>
      <c r="K45" s="9">
        <f t="shared" si="14"/>
        <v>0.90000000000000036</v>
      </c>
      <c r="L45" s="7">
        <f t="shared" si="3"/>
        <v>4159.5750000000016</v>
      </c>
      <c r="M45" s="7">
        <f t="shared" si="3"/>
        <v>3940.6500000000015</v>
      </c>
      <c r="N45" s="7">
        <f t="shared" si="3"/>
        <v>3502.8000000000015</v>
      </c>
      <c r="O45" s="7">
        <f t="shared" si="3"/>
        <v>3064.9500000000012</v>
      </c>
      <c r="P45" s="7">
        <f t="shared" si="3"/>
        <v>2627.1000000000008</v>
      </c>
      <c r="Q45" s="8"/>
    </row>
    <row r="46" spans="8:20">
      <c r="H46">
        <v>65</v>
      </c>
      <c r="I46" s="8">
        <f>I45</f>
        <v>4830.9449999999997</v>
      </c>
      <c r="J46" s="9">
        <f t="shared" si="2"/>
        <v>0.99299999999999999</v>
      </c>
      <c r="K46" s="9">
        <f t="shared" si="14"/>
        <v>0.90000000000000036</v>
      </c>
      <c r="L46" s="7">
        <f t="shared" si="3"/>
        <v>4159.5750000000016</v>
      </c>
      <c r="M46" s="7">
        <f t="shared" si="3"/>
        <v>3940.6500000000015</v>
      </c>
      <c r="N46" s="7">
        <f t="shared" si="3"/>
        <v>3502.8000000000015</v>
      </c>
      <c r="O46" s="7">
        <f t="shared" si="3"/>
        <v>3064.9500000000012</v>
      </c>
      <c r="P46" s="7">
        <f t="shared" si="3"/>
        <v>2627.1000000000008</v>
      </c>
      <c r="Q46" s="8"/>
    </row>
    <row r="47" spans="8:20">
      <c r="L47" s="8">
        <f>AVERAGE(L3:L46)</f>
        <v>4755.6757102272759</v>
      </c>
      <c r="M47" s="8">
        <f t="shared" ref="M47:P47" si="16">AVERAGE(M3:M46)</f>
        <v>4505.3769886363634</v>
      </c>
      <c r="N47" s="8">
        <f t="shared" si="16"/>
        <v>4004.7795454545439</v>
      </c>
      <c r="O47" s="8">
        <f t="shared" si="16"/>
        <v>3504.1821022727295</v>
      </c>
      <c r="P47" s="8">
        <f t="shared" si="16"/>
        <v>3003.5846590909105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Ile powinieneś mieć</vt:lpstr>
      <vt:lpstr>Podstawowe założenia</vt:lpstr>
      <vt:lpstr>obliczenia</vt:lpstr>
      <vt:lpstr>założenia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Walendowicz</dc:creator>
  <cp:lastModifiedBy>Michał Walendowicz</cp:lastModifiedBy>
  <dcterms:created xsi:type="dcterms:W3CDTF">2015-06-05T18:19:34Z</dcterms:created>
  <dcterms:modified xsi:type="dcterms:W3CDTF">2023-03-27T06:59:42Z</dcterms:modified>
</cp:coreProperties>
</file>